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lizabeth\SafeSync\Team Shares\Grants\2025 RAISE MaineDOT - Presque Isle\Final Upload Documents\"/>
    </mc:Choice>
  </mc:AlternateContent>
  <xr:revisionPtr revIDLastSave="0" documentId="13_ncr:1_{13A65525-38F9-4813-BE8B-4E504E16AC71}" xr6:coauthVersionLast="47" xr6:coauthVersionMax="47" xr10:uidLastSave="{00000000-0000-0000-0000-000000000000}"/>
  <bookViews>
    <workbookView xWindow="-110" yWindow="-110" windowWidth="19420" windowHeight="10300" xr2:uid="{F359A226-429B-4B39-ADCF-FA4E6BC947FC}"/>
  </bookViews>
  <sheets>
    <sheet name="Overview" sheetId="1" r:id="rId1"/>
    <sheet name="Project Information" sheetId="28" r:id="rId2"/>
    <sheet name="Parameter Values" sheetId="12" r:id="rId3"/>
    <sheet name="Inputs" sheetId="36" r:id="rId4"/>
    <sheet name="Outputs" sheetId="37" r:id="rId5"/>
    <sheet name="User Volumes" sheetId="34" r:id="rId6"/>
    <sheet name="Capital Costs" sheetId="2" r:id="rId7"/>
    <sheet name="Operations and Maintenance" sheetId="3" r:id="rId8"/>
    <sheet name="Safety" sheetId="31" r:id="rId9"/>
    <sheet name="Travel Time Savings" sheetId="32" r:id="rId10"/>
    <sheet name="Vehicle Operating Cost Savings" sheetId="33" r:id="rId11"/>
    <sheet name="Emissions Reduction" sheetId="20" r:id="rId12"/>
    <sheet name="Amenity Benefits" sheetId="21" r:id="rId13"/>
    <sheet name="Health Benefits" sheetId="22" r:id="rId14"/>
    <sheet name="Summary" sheetId="11" r:id="rId15"/>
    <sheet name="Final Results" sheetId="30" r:id="rId16"/>
    <sheet name="Other Highway Use Externalities" sheetId="35" r:id="rId17"/>
    <sheet name="Residual Value" sheetId="23" r:id="rId18"/>
    <sheet name="Other Benefit 1" sheetId="24" r:id="rId19"/>
    <sheet name="Other Benefit 2" sheetId="25" r:id="rId20"/>
    <sheet name="Other Benefit 3" sheetId="26" r:id="rId21"/>
    <sheet name="Other Benefit 4" sheetId="27" r:id="rId22"/>
  </sheets>
  <externalReferences>
    <externalReference r:id="rId23"/>
    <externalReference r:id="rId24"/>
    <externalReference r:id="rId25"/>
    <externalReference r:id="rId26"/>
  </externalReferences>
  <definedNames>
    <definedName name="ColumnTitle1">#REF!</definedName>
    <definedName name="ColumnTitleRegion11..B26.1">[1]Proposal!#REF!</definedName>
    <definedName name="ColumnTitleRegion12..B28.1">[1]Proposal!#REF!</definedName>
    <definedName name="ColumnTitleRegion13..B30.1">[1]Proposal!#REF!</definedName>
    <definedName name="ColumnTitleRegion14..D33">[1]Proposal!#REF!</definedName>
    <definedName name="ColumnTitleRegion8..B20.1">[1]Proposal!#REF!</definedName>
    <definedName name="Description">[2]Pricing!$A$3:$A$249</definedName>
    <definedName name="Equip">#REF!</definedName>
    <definedName name="Equip2">#REF!</definedName>
    <definedName name="Equipment">#REF!</definedName>
    <definedName name="faf">#REF!</definedName>
    <definedName name="FML">[3]Sheet2!$A$42:$A$66</definedName>
    <definedName name="IType">'[4]Construction - Do Not Delete'!$D$29:$D$31</definedName>
    <definedName name="Labour">#REF!</definedName>
    <definedName name="Labour2">#REF!</definedName>
    <definedName name="Labour3">#REF!</definedName>
    <definedName name="Material">[2]Pricing!$A$3:$J$249</definedName>
    <definedName name="Other">[1]Proposal!$E$39</definedName>
    <definedName name="RowTitleRegion1..G35">#REF!</definedName>
    <definedName name="Subtotal">#REF!</definedName>
    <definedName name="TaxRate">[1]Proposal!#REF!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31" l="1"/>
  <c r="K30" i="31"/>
  <c r="K31" i="31"/>
  <c r="K32" i="31"/>
  <c r="K28" i="31"/>
  <c r="L43" i="31"/>
  <c r="M43" i="31"/>
  <c r="K43" i="31"/>
  <c r="M39" i="31"/>
  <c r="M40" i="31"/>
  <c r="M41" i="31"/>
  <c r="M42" i="31"/>
  <c r="M38" i="31"/>
  <c r="V35" i="36"/>
  <c r="T35" i="36"/>
  <c r="V34" i="36"/>
  <c r="T34" i="36"/>
  <c r="V33" i="36"/>
  <c r="T33" i="36"/>
  <c r="R35" i="36"/>
  <c r="P35" i="36"/>
  <c r="N35" i="36"/>
  <c r="L35" i="36"/>
  <c r="R34" i="36"/>
  <c r="P34" i="36"/>
  <c r="N34" i="36"/>
  <c r="L34" i="36"/>
  <c r="R33" i="36"/>
  <c r="P33" i="36"/>
  <c r="N33" i="36"/>
  <c r="L33" i="36"/>
  <c r="J35" i="36"/>
  <c r="H35" i="36"/>
  <c r="J34" i="36"/>
  <c r="H34" i="36"/>
  <c r="J33" i="36"/>
  <c r="H33" i="36"/>
  <c r="F35" i="36"/>
  <c r="F34" i="36"/>
  <c r="F33" i="36"/>
  <c r="D35" i="36"/>
  <c r="D34" i="36"/>
  <c r="D33" i="36"/>
  <c r="E5" i="37"/>
  <c r="D5" i="37"/>
  <c r="Y14" i="36" l="1"/>
  <c r="I29" i="32" l="1"/>
  <c r="I33" i="32" s="1"/>
  <c r="I37" i="32" s="1"/>
  <c r="I28" i="32"/>
  <c r="I30" i="32" s="1"/>
  <c r="I34" i="32" s="1"/>
  <c r="G18" i="21"/>
  <c r="M29" i="31"/>
  <c r="J33" i="31"/>
  <c r="J28" i="31"/>
  <c r="J29" i="31"/>
  <c r="J30" i="31"/>
  <c r="J31" i="31"/>
  <c r="J32" i="31"/>
  <c r="J27" i="31"/>
  <c r="L28" i="31"/>
  <c r="M28" i="31" s="1"/>
  <c r="L29" i="31"/>
  <c r="L30" i="31"/>
  <c r="M30" i="31" s="1"/>
  <c r="L31" i="31"/>
  <c r="M31" i="31" s="1"/>
  <c r="L32" i="31"/>
  <c r="M32" i="31" s="1"/>
  <c r="L33" i="31"/>
  <c r="M33" i="31" s="1"/>
  <c r="L27" i="31"/>
  <c r="M27" i="31" s="1"/>
  <c r="Y18" i="36"/>
  <c r="X18" i="36"/>
  <c r="B8" i="28"/>
  <c r="B7" i="28"/>
  <c r="X20" i="36"/>
  <c r="Y20" i="36"/>
  <c r="X21" i="36"/>
  <c r="X23" i="36"/>
  <c r="X22" i="36" s="1"/>
  <c r="I31" i="32" l="1"/>
  <c r="I35" i="32" s="1"/>
  <c r="I32" i="32"/>
  <c r="I36" i="32" s="1"/>
  <c r="M35" i="31"/>
  <c r="C22" i="31" s="1"/>
  <c r="C23" i="31" s="1"/>
  <c r="C24" i="31" s="1"/>
  <c r="C25" i="31" s="1"/>
  <c r="C26" i="31" s="1"/>
  <c r="C27" i="31" s="1"/>
  <c r="C28" i="31" s="1"/>
  <c r="C29" i="31" s="1"/>
  <c r="C30" i="31" s="1"/>
  <c r="C31" i="31" s="1"/>
  <c r="C32" i="31" s="1"/>
  <c r="C33" i="31" s="1"/>
  <c r="C34" i="31" s="1"/>
  <c r="C35" i="31" s="1"/>
  <c r="C36" i="31" s="1"/>
  <c r="C37" i="31" s="1"/>
  <c r="C38" i="31" s="1"/>
  <c r="C39" i="31" s="1"/>
  <c r="C40" i="31" s="1"/>
  <c r="C41" i="31" s="1"/>
  <c r="X19" i="36"/>
  <c r="Y19" i="36"/>
  <c r="X31" i="36" l="1"/>
  <c r="Y31" i="36" s="1"/>
  <c r="X29" i="36"/>
  <c r="Y29" i="36" s="1"/>
  <c r="Y30" i="36"/>
  <c r="Y28" i="36"/>
  <c r="Y27" i="36"/>
  <c r="Y15" i="36" l="1"/>
  <c r="Y40" i="36" s="1"/>
  <c r="X15" i="36" l="1"/>
  <c r="X40" i="36" s="1"/>
  <c r="F24" i="21"/>
  <c r="F30" i="21"/>
  <c r="G30" i="21"/>
  <c r="G24" i="21"/>
  <c r="G37" i="21"/>
  <c r="G17" i="21"/>
  <c r="Y25" i="36" l="1"/>
  <c r="X25" i="36"/>
  <c r="Y24" i="36"/>
  <c r="X24" i="36"/>
  <c r="Y17" i="36"/>
  <c r="Y16" i="36" s="1"/>
  <c r="X17" i="36"/>
  <c r="X16" i="36" s="1"/>
  <c r="G16" i="21" s="1"/>
  <c r="G19" i="21" s="1"/>
  <c r="Y21" i="36"/>
  <c r="D16" i="23"/>
  <c r="D15" i="23"/>
  <c r="D14" i="23"/>
  <c r="D13" i="23"/>
  <c r="D12" i="23"/>
  <c r="C11" i="20"/>
  <c r="C12" i="20"/>
  <c r="C13" i="20"/>
  <c r="C14" i="20"/>
  <c r="C15" i="20"/>
  <c r="C16" i="20"/>
  <c r="C17" i="20"/>
  <c r="C18" i="20"/>
  <c r="C10" i="20"/>
  <c r="H36" i="11"/>
  <c r="L36" i="11"/>
  <c r="M36" i="11"/>
  <c r="N36" i="11"/>
  <c r="O36" i="11"/>
  <c r="D11" i="23"/>
  <c r="G23" i="21" l="1"/>
  <c r="G25" i="21" s="1"/>
  <c r="G29" i="21"/>
  <c r="G31" i="21" s="1"/>
  <c r="F10" i="34"/>
  <c r="H10" i="34"/>
  <c r="H11" i="34" s="1"/>
  <c r="H12" i="34" s="1"/>
  <c r="H13" i="34" s="1"/>
  <c r="H14" i="34" s="1"/>
  <c r="H15" i="34" s="1"/>
  <c r="H16" i="34" s="1"/>
  <c r="H17" i="34" s="1"/>
  <c r="H18" i="34" s="1"/>
  <c r="H19" i="34" s="1"/>
  <c r="H20" i="34" s="1"/>
  <c r="H21" i="34" s="1"/>
  <c r="H22" i="34" s="1"/>
  <c r="H23" i="34" s="1"/>
  <c r="H24" i="34" s="1"/>
  <c r="H25" i="34" s="1"/>
  <c r="H26" i="34" s="1"/>
  <c r="H27" i="34" s="1"/>
  <c r="H28" i="34" s="1"/>
  <c r="H29" i="34" s="1"/>
  <c r="Y34" i="36"/>
  <c r="B10" i="2" s="1"/>
  <c r="Y33" i="36"/>
  <c r="B9" i="2" s="1"/>
  <c r="Y35" i="36"/>
  <c r="A10" i="1"/>
  <c r="B20" i="32" l="1"/>
  <c r="Y23" i="36"/>
  <c r="Y22" i="36" s="1"/>
  <c r="G33" i="21"/>
  <c r="F11" i="34"/>
  <c r="B21" i="32" s="1"/>
  <c r="C10" i="34"/>
  <c r="Y36" i="36"/>
  <c r="B11" i="2"/>
  <c r="I10" i="34"/>
  <c r="I11" i="34" s="1"/>
  <c r="I12" i="34" s="1"/>
  <c r="I13" i="34" s="1"/>
  <c r="I14" i="34" s="1"/>
  <c r="I15" i="34" s="1"/>
  <c r="I16" i="34" s="1"/>
  <c r="I17" i="34" s="1"/>
  <c r="I18" i="34" s="1"/>
  <c r="I19" i="34" s="1"/>
  <c r="I20" i="34" s="1"/>
  <c r="I21" i="34" s="1"/>
  <c r="I22" i="34" s="1"/>
  <c r="I23" i="34" s="1"/>
  <c r="I24" i="34" s="1"/>
  <c r="I25" i="34" s="1"/>
  <c r="I26" i="34" s="1"/>
  <c r="I27" i="34" s="1"/>
  <c r="I28" i="34" s="1"/>
  <c r="I29" i="34" s="1"/>
  <c r="G10" i="34"/>
  <c r="C20" i="32" s="1"/>
  <c r="D17" i="23"/>
  <c r="A11" i="22"/>
  <c r="A10" i="22"/>
  <c r="B18" i="20"/>
  <c r="B15" i="20"/>
  <c r="B12" i="20"/>
  <c r="B27" i="20"/>
  <c r="C27" i="20"/>
  <c r="B28" i="20"/>
  <c r="C28" i="20"/>
  <c r="B29" i="20"/>
  <c r="C29" i="20"/>
  <c r="C26" i="20"/>
  <c r="B26" i="20"/>
  <c r="B22" i="20"/>
  <c r="C22" i="20"/>
  <c r="B23" i="20"/>
  <c r="C23" i="20"/>
  <c r="B24" i="20"/>
  <c r="C24" i="20"/>
  <c r="C21" i="20"/>
  <c r="B21" i="20"/>
  <c r="B18" i="33"/>
  <c r="B19" i="33"/>
  <c r="B20" i="33"/>
  <c r="B13" i="33"/>
  <c r="B14" i="33"/>
  <c r="B15" i="33"/>
  <c r="B22" i="33"/>
  <c r="B17" i="33"/>
  <c r="B12" i="33"/>
  <c r="B16" i="3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6" i="1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C26" i="33" l="1"/>
  <c r="C11" i="34"/>
  <c r="C12" i="34" s="1"/>
  <c r="G38" i="21"/>
  <c r="G39" i="21" s="1"/>
  <c r="F12" i="34"/>
  <c r="B22" i="32" s="1"/>
  <c r="G11" i="34"/>
  <c r="C21" i="32" s="1"/>
  <c r="B9" i="22"/>
  <c r="C9" i="22"/>
  <c r="C8" i="22"/>
  <c r="B15" i="22" s="1"/>
  <c r="B8" i="22"/>
  <c r="B9" i="33"/>
  <c r="B8" i="33"/>
  <c r="G41" i="21" l="1"/>
  <c r="E33" i="20"/>
  <c r="C33" i="20"/>
  <c r="E35" i="20"/>
  <c r="C35" i="20"/>
  <c r="C28" i="33"/>
  <c r="C27" i="33"/>
  <c r="C34" i="20"/>
  <c r="E34" i="20"/>
  <c r="F13" i="34"/>
  <c r="B23" i="32" s="1"/>
  <c r="B16" i="22"/>
  <c r="J7" i="11" s="1"/>
  <c r="C13" i="34"/>
  <c r="G12" i="34"/>
  <c r="B7" i="31"/>
  <c r="B8" i="32"/>
  <c r="B9" i="32"/>
  <c r="B10" i="32"/>
  <c r="B11" i="32"/>
  <c r="B13" i="32"/>
  <c r="B14" i="32"/>
  <c r="B15" i="32"/>
  <c r="B16" i="32"/>
  <c r="B8" i="31"/>
  <c r="J35"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D41" i="31" s="1"/>
  <c r="C25" i="11" s="1"/>
  <c r="B9" i="31"/>
  <c r="B10" i="31"/>
  <c r="B11" i="31"/>
  <c r="B12" i="31"/>
  <c r="B13" i="31"/>
  <c r="B17" i="31"/>
  <c r="B18" i="31"/>
  <c r="B11" i="28"/>
  <c r="D55" i="33"/>
  <c r="E35" i="11" s="1"/>
  <c r="D54" i="33"/>
  <c r="E34" i="11" s="1"/>
  <c r="D53" i="33"/>
  <c r="E33" i="11" s="1"/>
  <c r="D52" i="33"/>
  <c r="E32" i="11" s="1"/>
  <c r="D51" i="33"/>
  <c r="E31" i="11" s="1"/>
  <c r="D50" i="33"/>
  <c r="E30" i="11" s="1"/>
  <c r="D49" i="33"/>
  <c r="E29" i="11" s="1"/>
  <c r="D48" i="33"/>
  <c r="E28" i="11" s="1"/>
  <c r="D47" i="33"/>
  <c r="E27" i="11" s="1"/>
  <c r="D46" i="33"/>
  <c r="E26" i="11" s="1"/>
  <c r="D49" i="32"/>
  <c r="D35" i="11" s="1"/>
  <c r="D48" i="32"/>
  <c r="D34" i="11" s="1"/>
  <c r="D47" i="32"/>
  <c r="D33" i="11" s="1"/>
  <c r="D46" i="32"/>
  <c r="D32" i="11" s="1"/>
  <c r="D45" i="32"/>
  <c r="D31" i="11" s="1"/>
  <c r="D44" i="32"/>
  <c r="D30" i="11" s="1"/>
  <c r="D43" i="32"/>
  <c r="D29" i="11" s="1"/>
  <c r="D42" i="32"/>
  <c r="D28" i="11" s="1"/>
  <c r="D41" i="32"/>
  <c r="D27" i="11" s="1"/>
  <c r="D40" i="32"/>
  <c r="D26" i="11" s="1"/>
  <c r="D42" i="31"/>
  <c r="C26" i="11" s="1"/>
  <c r="D43" i="31"/>
  <c r="C27" i="11" s="1"/>
  <c r="D44" i="31"/>
  <c r="C28" i="11" s="1"/>
  <c r="D45" i="31"/>
  <c r="C29" i="11" s="1"/>
  <c r="D46" i="31"/>
  <c r="C30" i="11" s="1"/>
  <c r="D47" i="31"/>
  <c r="C31" i="11" s="1"/>
  <c r="D48" i="31"/>
  <c r="C32" i="11" s="1"/>
  <c r="D49" i="31"/>
  <c r="C33" i="11" s="1"/>
  <c r="D50" i="31"/>
  <c r="C34" i="11" s="1"/>
  <c r="D51" i="31"/>
  <c r="C35" i="11" s="1"/>
  <c r="A9" i="2"/>
  <c r="C9" i="2" s="1"/>
  <c r="B6" i="28"/>
  <c r="B9" i="28"/>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L22" i="11"/>
  <c r="M22" i="11"/>
  <c r="N22" i="11"/>
  <c r="O22" i="11"/>
  <c r="L23" i="11"/>
  <c r="M23" i="11"/>
  <c r="N23" i="11"/>
  <c r="O23" i="11"/>
  <c r="L24" i="11"/>
  <c r="M24" i="11"/>
  <c r="N24" i="11"/>
  <c r="O24" i="11"/>
  <c r="L25" i="11"/>
  <c r="M25" i="11"/>
  <c r="N25" i="11"/>
  <c r="O25" i="11"/>
  <c r="I26" i="11"/>
  <c r="J26" i="11"/>
  <c r="L26" i="11"/>
  <c r="M26" i="11"/>
  <c r="N26" i="11"/>
  <c r="O26" i="11"/>
  <c r="I27" i="11"/>
  <c r="J27" i="11"/>
  <c r="L27" i="11"/>
  <c r="M27" i="11"/>
  <c r="N27" i="11"/>
  <c r="O27" i="11"/>
  <c r="I28" i="11"/>
  <c r="J28" i="11"/>
  <c r="L28" i="11"/>
  <c r="M28" i="11"/>
  <c r="N28" i="11"/>
  <c r="O28" i="11"/>
  <c r="I29" i="11"/>
  <c r="J29" i="11"/>
  <c r="L29" i="11"/>
  <c r="M29" i="11"/>
  <c r="N29" i="11"/>
  <c r="O29" i="11"/>
  <c r="I30" i="11"/>
  <c r="J30" i="11"/>
  <c r="L30" i="11"/>
  <c r="M30" i="11"/>
  <c r="N30" i="11"/>
  <c r="O30" i="11"/>
  <c r="I31" i="11"/>
  <c r="J31" i="11"/>
  <c r="L31" i="11"/>
  <c r="M31" i="11"/>
  <c r="N31" i="11"/>
  <c r="O31" i="11"/>
  <c r="I32" i="11"/>
  <c r="J32" i="11"/>
  <c r="L32" i="11"/>
  <c r="M32" i="11"/>
  <c r="N32" i="11"/>
  <c r="O32" i="11"/>
  <c r="I33" i="11"/>
  <c r="J33" i="11"/>
  <c r="L33" i="11"/>
  <c r="M33" i="11"/>
  <c r="N33" i="11"/>
  <c r="O33" i="11"/>
  <c r="I34" i="11"/>
  <c r="J34" i="11"/>
  <c r="L34" i="11"/>
  <c r="M34" i="11"/>
  <c r="N34" i="11"/>
  <c r="O34" i="11"/>
  <c r="I35" i="11"/>
  <c r="J35" i="11"/>
  <c r="L35" i="11"/>
  <c r="M35" i="11"/>
  <c r="N35" i="11"/>
  <c r="O35" i="11"/>
  <c r="L7" i="11"/>
  <c r="M7" i="11"/>
  <c r="N7" i="11"/>
  <c r="O7" i="11"/>
  <c r="L8" i="11"/>
  <c r="M8" i="11"/>
  <c r="N8" i="11"/>
  <c r="O8" i="11"/>
  <c r="L9" i="11"/>
  <c r="M9" i="11"/>
  <c r="N9" i="11"/>
  <c r="O9" i="11"/>
  <c r="L10" i="11"/>
  <c r="M10" i="11"/>
  <c r="N10" i="11"/>
  <c r="O10" i="11"/>
  <c r="L11" i="11"/>
  <c r="M11" i="11"/>
  <c r="N11" i="11"/>
  <c r="O11" i="11"/>
  <c r="L12" i="11"/>
  <c r="M12" i="11"/>
  <c r="N12" i="11"/>
  <c r="O12" i="11"/>
  <c r="L13" i="11"/>
  <c r="M13" i="11"/>
  <c r="N13" i="11"/>
  <c r="O13" i="11"/>
  <c r="L14" i="11"/>
  <c r="M14" i="11"/>
  <c r="N14" i="11"/>
  <c r="O14" i="11"/>
  <c r="L15" i="11"/>
  <c r="M15" i="11"/>
  <c r="N15" i="11"/>
  <c r="O15" i="11"/>
  <c r="L16" i="11"/>
  <c r="M16" i="11"/>
  <c r="N16" i="11"/>
  <c r="O16" i="11"/>
  <c r="L17" i="11"/>
  <c r="M17" i="11"/>
  <c r="N17" i="11"/>
  <c r="O17" i="11"/>
  <c r="L18" i="11"/>
  <c r="M18" i="11"/>
  <c r="N18" i="11"/>
  <c r="O18" i="11"/>
  <c r="L19" i="11"/>
  <c r="M19" i="11"/>
  <c r="N19" i="11"/>
  <c r="O19" i="11"/>
  <c r="L20" i="11"/>
  <c r="M20" i="11"/>
  <c r="N20" i="11"/>
  <c r="O20" i="11"/>
  <c r="L21" i="11"/>
  <c r="M21" i="11"/>
  <c r="N21" i="11"/>
  <c r="O21" i="11"/>
  <c r="O5" i="11"/>
  <c r="O6" i="11"/>
  <c r="N5" i="11"/>
  <c r="N6" i="11"/>
  <c r="M5" i="11"/>
  <c r="M6" i="11"/>
  <c r="L5" i="11"/>
  <c r="L6" i="11"/>
  <c r="J6" i="11"/>
  <c r="B12" i="21" l="1"/>
  <c r="I7" i="11" s="1"/>
  <c r="B11" i="21"/>
  <c r="I6" i="11" s="1"/>
  <c r="B13" i="21"/>
  <c r="I8" i="11" s="1"/>
  <c r="C22" i="32"/>
  <c r="D29" i="31"/>
  <c r="C13" i="11" s="1"/>
  <c r="D28" i="31"/>
  <c r="C12" i="11" s="1"/>
  <c r="D26" i="31"/>
  <c r="C10" i="11" s="1"/>
  <c r="D24" i="31"/>
  <c r="C8" i="11" s="1"/>
  <c r="D35" i="31"/>
  <c r="C19" i="11" s="1"/>
  <c r="D33" i="31"/>
  <c r="C17" i="11" s="1"/>
  <c r="D22" i="31"/>
  <c r="C6" i="11" s="1"/>
  <c r="D39" i="31"/>
  <c r="C23" i="11" s="1"/>
  <c r="D38" i="31"/>
  <c r="C22" i="11" s="1"/>
  <c r="D37" i="31"/>
  <c r="C21" i="11" s="1"/>
  <c r="D32" i="31"/>
  <c r="C16" i="11" s="1"/>
  <c r="D30" i="31"/>
  <c r="C14" i="11" s="1"/>
  <c r="D40" i="31"/>
  <c r="C24" i="11" s="1"/>
  <c r="D27" i="31"/>
  <c r="C11" i="11" s="1"/>
  <c r="D25" i="31"/>
  <c r="C9" i="11" s="1"/>
  <c r="D36" i="31"/>
  <c r="C20" i="11" s="1"/>
  <c r="D23" i="31"/>
  <c r="C7" i="11" s="1"/>
  <c r="D34" i="31"/>
  <c r="C18" i="11" s="1"/>
  <c r="D31" i="31"/>
  <c r="C15" i="11" s="1"/>
  <c r="B36" i="11"/>
  <c r="C36" i="20"/>
  <c r="C29" i="33"/>
  <c r="E36" i="20"/>
  <c r="F14" i="34"/>
  <c r="B24" i="32" s="1"/>
  <c r="B17" i="22"/>
  <c r="J8" i="11" s="1"/>
  <c r="C14" i="34"/>
  <c r="G13" i="34"/>
  <c r="A20" i="32"/>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12" i="27"/>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A24" i="23" s="1"/>
  <c r="B24" i="23"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20" i="35"/>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33" i="20"/>
  <c r="R33" i="20"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B41" i="11"/>
  <c r="A41"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10" i="2"/>
  <c r="C10" i="2" s="1"/>
  <c r="B42" i="11" s="1"/>
  <c r="B14" i="21" l="1"/>
  <c r="I9" i="11" s="1"/>
  <c r="C23" i="32"/>
  <c r="C36" i="11"/>
  <c r="D6" i="37" s="1"/>
  <c r="M37" i="11"/>
  <c r="L37" i="11"/>
  <c r="O37" i="11"/>
  <c r="N37" i="11"/>
  <c r="C30" i="33"/>
  <c r="E37" i="20"/>
  <c r="C37" i="20"/>
  <c r="D20" i="32"/>
  <c r="D6" i="11" s="1"/>
  <c r="F15" i="34"/>
  <c r="B25" i="32" s="1"/>
  <c r="B18" i="22"/>
  <c r="J9" i="11" s="1"/>
  <c r="C15" i="34"/>
  <c r="G14" i="34"/>
  <c r="A34" i="20"/>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B23" i="23"/>
  <c r="B37" i="11"/>
  <c r="C37" i="11"/>
  <c r="E6" i="37" s="1"/>
  <c r="H37" i="11"/>
  <c r="A42" i="11"/>
  <c r="A43" i="11" s="1"/>
  <c r="A44" i="11" s="1"/>
  <c r="A45" i="11" s="1"/>
  <c r="A46" i="11" s="1"/>
  <c r="A47" i="11" s="1"/>
  <c r="A48" i="11" s="1"/>
  <c r="A49" i="11" s="1"/>
  <c r="A50" i="11" s="1"/>
  <c r="A51" i="11" s="1"/>
  <c r="A52" i="11" s="1"/>
  <c r="A53" i="11" s="1"/>
  <c r="C41" i="11"/>
  <c r="A25" i="23"/>
  <c r="B25" i="23" s="1"/>
  <c r="Q33" i="20"/>
  <c r="O33" i="20"/>
  <c r="P33" i="20"/>
  <c r="A11" i="2"/>
  <c r="C11" i="2" s="1"/>
  <c r="B15" i="21" l="1"/>
  <c r="I10" i="11" s="1"/>
  <c r="C24" i="32"/>
  <c r="C38" i="20"/>
  <c r="E38" i="20"/>
  <c r="C31" i="33"/>
  <c r="O35" i="20"/>
  <c r="D21" i="32"/>
  <c r="D7" i="11" s="1"/>
  <c r="F16" i="34"/>
  <c r="B26" i="32" s="1"/>
  <c r="B19" i="22"/>
  <c r="J10" i="11" s="1"/>
  <c r="C16" i="34"/>
  <c r="G15" i="34"/>
  <c r="B43" i="11"/>
  <c r="C43" i="11" s="1"/>
  <c r="C42" i="11"/>
  <c r="A26" i="23"/>
  <c r="B26" i="23" s="1"/>
  <c r="K7" i="11"/>
  <c r="K6" i="11"/>
  <c r="A12" i="2"/>
  <c r="A13" i="2" s="1"/>
  <c r="Q34" i="20"/>
  <c r="R35" i="20"/>
  <c r="Q35" i="20"/>
  <c r="O34" i="20"/>
  <c r="R34" i="20"/>
  <c r="P34" i="20"/>
  <c r="P35" i="20"/>
  <c r="Q36" i="20"/>
  <c r="A54" i="11"/>
  <c r="B16" i="21" l="1"/>
  <c r="I11" i="11" s="1"/>
  <c r="C25" i="32"/>
  <c r="C32" i="33"/>
  <c r="C39" i="20"/>
  <c r="E39" i="20"/>
  <c r="D22" i="32"/>
  <c r="D8" i="11" s="1"/>
  <c r="F17" i="34"/>
  <c r="B27" i="32" s="1"/>
  <c r="B20" i="22"/>
  <c r="J11" i="11" s="1"/>
  <c r="C17" i="34"/>
  <c r="G16" i="34"/>
  <c r="C12" i="2"/>
  <c r="B44" i="11" s="1"/>
  <c r="C44" i="11" s="1"/>
  <c r="A27" i="23"/>
  <c r="B27" i="23" s="1"/>
  <c r="P36" i="20"/>
  <c r="O37" i="20"/>
  <c r="O36" i="20"/>
  <c r="R36" i="20"/>
  <c r="A55" i="11"/>
  <c r="A14" i="2"/>
  <c r="C13" i="2"/>
  <c r="B45" i="11" s="1"/>
  <c r="C45" i="11" s="1"/>
  <c r="B17" i="21" l="1"/>
  <c r="I12" i="11" s="1"/>
  <c r="C26" i="32"/>
  <c r="C40" i="20"/>
  <c r="C33" i="33"/>
  <c r="E40" i="20"/>
  <c r="D23" i="32"/>
  <c r="D9" i="11" s="1"/>
  <c r="B21" i="22"/>
  <c r="J12" i="11" s="1"/>
  <c r="F18" i="34"/>
  <c r="B28" i="32" s="1"/>
  <c r="C18" i="34"/>
  <c r="G17" i="34"/>
  <c r="A28" i="23"/>
  <c r="B28" i="23" s="1"/>
  <c r="K8" i="11"/>
  <c r="K9" i="11"/>
  <c r="O38" i="20"/>
  <c r="Q37" i="20"/>
  <c r="R37" i="20"/>
  <c r="P37" i="20"/>
  <c r="A15" i="2"/>
  <c r="C14" i="2"/>
  <c r="B46" i="11" s="1"/>
  <c r="C46" i="11" s="1"/>
  <c r="B18" i="21" l="1"/>
  <c r="I13" i="11" s="1"/>
  <c r="C27" i="32"/>
  <c r="C41" i="20"/>
  <c r="E41" i="20"/>
  <c r="C34" i="33"/>
  <c r="D24" i="32"/>
  <c r="D10" i="11" s="1"/>
  <c r="F19" i="34"/>
  <c r="B29" i="32" s="1"/>
  <c r="C19" i="34"/>
  <c r="B22" i="22"/>
  <c r="J13" i="11" s="1"/>
  <c r="G18" i="34"/>
  <c r="A29" i="23"/>
  <c r="B29" i="23" s="1"/>
  <c r="K10" i="11"/>
  <c r="P39" i="20"/>
  <c r="P38" i="20"/>
  <c r="Q38" i="20"/>
  <c r="R38" i="20"/>
  <c r="A16" i="2"/>
  <c r="C15" i="2"/>
  <c r="B47" i="11" s="1"/>
  <c r="C47" i="11" s="1"/>
  <c r="B19" i="21" l="1"/>
  <c r="I14" i="11" s="1"/>
  <c r="C28" i="32"/>
  <c r="C42" i="20"/>
  <c r="C35" i="33"/>
  <c r="E42" i="20"/>
  <c r="D25" i="32"/>
  <c r="D11" i="11" s="1"/>
  <c r="F20" i="34"/>
  <c r="B30" i="32" s="1"/>
  <c r="C20" i="34"/>
  <c r="B23" i="22"/>
  <c r="J14" i="11" s="1"/>
  <c r="G19" i="34"/>
  <c r="A30" i="23"/>
  <c r="B30" i="23" s="1"/>
  <c r="R40" i="20"/>
  <c r="O39" i="20"/>
  <c r="R39" i="20"/>
  <c r="Q39" i="20"/>
  <c r="Q40" i="20"/>
  <c r="A17" i="2"/>
  <c r="C16" i="2"/>
  <c r="B48" i="11" s="1"/>
  <c r="C48" i="11" s="1"/>
  <c r="B20" i="21" l="1"/>
  <c r="I15" i="11" s="1"/>
  <c r="C29" i="32"/>
  <c r="C43" i="20"/>
  <c r="C36" i="33"/>
  <c r="E43" i="20"/>
  <c r="D26" i="32"/>
  <c r="D12" i="11" s="1"/>
  <c r="F21" i="34"/>
  <c r="B31" i="32" s="1"/>
  <c r="C21" i="34"/>
  <c r="B24" i="22"/>
  <c r="J15" i="11" s="1"/>
  <c r="G20" i="34"/>
  <c r="A31" i="23"/>
  <c r="B31" i="23" s="1"/>
  <c r="K11" i="11"/>
  <c r="K12" i="11"/>
  <c r="P40" i="20"/>
  <c r="O40" i="20"/>
  <c r="O41" i="20"/>
  <c r="P41" i="20"/>
  <c r="R41" i="20"/>
  <c r="Q41" i="20"/>
  <c r="A18" i="2"/>
  <c r="C17" i="2"/>
  <c r="B49" i="11" s="1"/>
  <c r="C49" i="11" s="1"/>
  <c r="B21" i="21" l="1"/>
  <c r="I16" i="11" s="1"/>
  <c r="C30" i="32"/>
  <c r="C44" i="20"/>
  <c r="E44" i="20"/>
  <c r="C37" i="33"/>
  <c r="D27" i="32"/>
  <c r="D13" i="11" s="1"/>
  <c r="F22" i="34"/>
  <c r="B32" i="32" s="1"/>
  <c r="B25" i="22"/>
  <c r="J16" i="11" s="1"/>
  <c r="C22" i="34"/>
  <c r="G21" i="34"/>
  <c r="A32" i="23"/>
  <c r="B32" i="23" s="1"/>
  <c r="K13" i="11"/>
  <c r="O42" i="20"/>
  <c r="P42" i="20"/>
  <c r="Q42" i="20"/>
  <c r="R42" i="20"/>
  <c r="A19" i="2"/>
  <c r="C18" i="2"/>
  <c r="B50" i="11" s="1"/>
  <c r="C50" i="11" s="1"/>
  <c r="B22" i="21" l="1"/>
  <c r="I17" i="11" s="1"/>
  <c r="C31" i="32"/>
  <c r="C38" i="33"/>
  <c r="C45" i="20"/>
  <c r="E45" i="20"/>
  <c r="D28" i="32"/>
  <c r="D14" i="11" s="1"/>
  <c r="F23" i="34"/>
  <c r="B33" i="32" s="1"/>
  <c r="C23" i="34"/>
  <c r="B26" i="22"/>
  <c r="J17" i="11" s="1"/>
  <c r="G22" i="34"/>
  <c r="A33" i="23"/>
  <c r="B33" i="23" s="1"/>
  <c r="K14" i="11"/>
  <c r="O43" i="20"/>
  <c r="P43" i="20"/>
  <c r="Q43" i="20"/>
  <c r="R43" i="20"/>
  <c r="A20" i="2"/>
  <c r="C19" i="2"/>
  <c r="B51" i="11" s="1"/>
  <c r="C51" i="11" s="1"/>
  <c r="B23" i="21" l="1"/>
  <c r="I18" i="11" s="1"/>
  <c r="C32" i="32"/>
  <c r="C39" i="33"/>
  <c r="E46" i="20"/>
  <c r="C46" i="20"/>
  <c r="D29" i="32"/>
  <c r="D15" i="11" s="1"/>
  <c r="F24" i="34"/>
  <c r="B34" i="32" s="1"/>
  <c r="B27" i="22"/>
  <c r="J18" i="11" s="1"/>
  <c r="C24" i="34"/>
  <c r="G23" i="34"/>
  <c r="A34" i="23"/>
  <c r="B34" i="23" s="1"/>
  <c r="K15" i="11"/>
  <c r="O44" i="20"/>
  <c r="P44" i="20"/>
  <c r="Q44" i="20"/>
  <c r="R44" i="20"/>
  <c r="A21" i="2"/>
  <c r="C20" i="2"/>
  <c r="B52" i="11" s="1"/>
  <c r="C52" i="11" s="1"/>
  <c r="B24" i="21" l="1"/>
  <c r="I19" i="11" s="1"/>
  <c r="C33" i="32"/>
  <c r="C47" i="20"/>
  <c r="E47" i="20"/>
  <c r="C40" i="33"/>
  <c r="D30" i="32"/>
  <c r="D16" i="11" s="1"/>
  <c r="F25" i="34"/>
  <c r="B35" i="32" s="1"/>
  <c r="C25" i="34"/>
  <c r="B28" i="22"/>
  <c r="J19" i="11" s="1"/>
  <c r="G24" i="34"/>
  <c r="A35" i="23"/>
  <c r="B35" i="23" s="1"/>
  <c r="K16" i="11"/>
  <c r="O45" i="20"/>
  <c r="P45" i="20"/>
  <c r="R45" i="20"/>
  <c r="Q45" i="20"/>
  <c r="A22" i="2"/>
  <c r="C21" i="2"/>
  <c r="B53" i="11" s="1"/>
  <c r="C53" i="11" s="1"/>
  <c r="B25" i="21" l="1"/>
  <c r="I20" i="11" s="1"/>
  <c r="C34" i="32"/>
  <c r="C48" i="20"/>
  <c r="C41" i="33"/>
  <c r="E48" i="20"/>
  <c r="D31" i="32"/>
  <c r="D17" i="11" s="1"/>
  <c r="F26" i="34"/>
  <c r="B36" i="32" s="1"/>
  <c r="B29" i="22"/>
  <c r="J20" i="11" s="1"/>
  <c r="C26" i="34"/>
  <c r="G25" i="34"/>
  <c r="A36" i="23"/>
  <c r="B36" i="23" s="1"/>
  <c r="K17" i="11"/>
  <c r="O46" i="20"/>
  <c r="P46" i="20"/>
  <c r="Q46" i="20"/>
  <c r="R46" i="20"/>
  <c r="A23" i="2"/>
  <c r="C23" i="2" s="1"/>
  <c r="C22" i="2"/>
  <c r="B54" i="11" s="1"/>
  <c r="C54" i="11" s="1"/>
  <c r="B26" i="21" l="1"/>
  <c r="I21" i="11" s="1"/>
  <c r="C35" i="32"/>
  <c r="C42" i="33"/>
  <c r="C49" i="20"/>
  <c r="E49" i="20"/>
  <c r="D32" i="32"/>
  <c r="D18" i="11" s="1"/>
  <c r="F27" i="34"/>
  <c r="B37" i="32" s="1"/>
  <c r="C27" i="34"/>
  <c r="B30" i="22"/>
  <c r="J21" i="11" s="1"/>
  <c r="G26" i="34"/>
  <c r="B55" i="11"/>
  <c r="B11" i="23"/>
  <c r="A37" i="23"/>
  <c r="B37" i="23" s="1"/>
  <c r="K18" i="11"/>
  <c r="O47" i="20"/>
  <c r="P47" i="20"/>
  <c r="Q47" i="20"/>
  <c r="R47" i="20"/>
  <c r="B27" i="21" l="1"/>
  <c r="I22" i="11" s="1"/>
  <c r="C36" i="32"/>
  <c r="C50" i="20"/>
  <c r="E50" i="20"/>
  <c r="C43" i="33"/>
  <c r="D33" i="32"/>
  <c r="D19" i="11" s="1"/>
  <c r="F28" i="34"/>
  <c r="B38" i="32" s="1"/>
  <c r="B31" i="22"/>
  <c r="J22" i="11" s="1"/>
  <c r="C28" i="34"/>
  <c r="G27" i="34"/>
  <c r="C55" i="11"/>
  <c r="C56" i="11" s="1"/>
  <c r="E4" i="37" s="1"/>
  <c r="B56" i="11"/>
  <c r="A38" i="23"/>
  <c r="B38" i="23" s="1"/>
  <c r="K19" i="11"/>
  <c r="O48" i="20"/>
  <c r="P48" i="20"/>
  <c r="Q48" i="20"/>
  <c r="R48" i="20"/>
  <c r="C4" i="37" l="1"/>
  <c r="C12" i="37" s="1"/>
  <c r="B28" i="21"/>
  <c r="I23" i="11" s="1"/>
  <c r="C37" i="32"/>
  <c r="C44" i="33"/>
  <c r="C51" i="20"/>
  <c r="E51" i="20"/>
  <c r="D34" i="32"/>
  <c r="D20" i="11" s="1"/>
  <c r="F29" i="34"/>
  <c r="B39" i="32" s="1"/>
  <c r="B32" i="22"/>
  <c r="J23" i="11" s="1"/>
  <c r="C29" i="34"/>
  <c r="G28" i="34"/>
  <c r="A39" i="23"/>
  <c r="B39" i="23" s="1"/>
  <c r="K20" i="11"/>
  <c r="O49" i="20"/>
  <c r="P49" i="20"/>
  <c r="R49" i="20"/>
  <c r="Q49" i="20"/>
  <c r="B29" i="21" l="1"/>
  <c r="I24" i="11" s="1"/>
  <c r="C38" i="32"/>
  <c r="C52" i="20"/>
  <c r="C45" i="33"/>
  <c r="E52" i="20"/>
  <c r="D35" i="32"/>
  <c r="D21" i="11" s="1"/>
  <c r="B33" i="22"/>
  <c r="J24" i="11" s="1"/>
  <c r="G29" i="34"/>
  <c r="A40" i="23"/>
  <c r="B40" i="23" s="1"/>
  <c r="K21" i="11"/>
  <c r="O50" i="20"/>
  <c r="P50" i="20"/>
  <c r="Q50" i="20"/>
  <c r="R50" i="20"/>
  <c r="B6" i="30"/>
  <c r="B30" i="21" l="1"/>
  <c r="I25" i="11" s="1"/>
  <c r="C39" i="32"/>
  <c r="D36" i="32"/>
  <c r="D22" i="11" s="1"/>
  <c r="B34" i="22"/>
  <c r="J25" i="11" s="1"/>
  <c r="A41" i="23"/>
  <c r="B41" i="23" s="1"/>
  <c r="K22" i="11"/>
  <c r="P51" i="20"/>
  <c r="O51" i="20"/>
  <c r="Q51" i="20"/>
  <c r="R51" i="20"/>
  <c r="D37" i="32" l="1"/>
  <c r="D23" i="11" s="1"/>
  <c r="I37" i="11"/>
  <c r="E10" i="37" s="1"/>
  <c r="I36" i="11"/>
  <c r="D10" i="37" s="1"/>
  <c r="J37" i="11"/>
  <c r="E11" i="37" s="1"/>
  <c r="J36" i="11"/>
  <c r="D11" i="37" s="1"/>
  <c r="A42" i="23"/>
  <c r="B42" i="23" s="1"/>
  <c r="K23" i="11"/>
  <c r="O52" i="20"/>
  <c r="P52" i="20"/>
  <c r="Q52" i="20"/>
  <c r="R52" i="20"/>
  <c r="D39" i="32" l="1"/>
  <c r="D25" i="11" s="1"/>
  <c r="D38" i="32"/>
  <c r="D24" i="11" s="1"/>
  <c r="A43" i="23"/>
  <c r="B43" i="23" s="1"/>
  <c r="K24" i="11"/>
  <c r="P53" i="20"/>
  <c r="R53" i="20"/>
  <c r="Q53" i="20"/>
  <c r="O53" i="20"/>
  <c r="D36" i="11" l="1"/>
  <c r="D7" i="37" s="1"/>
  <c r="D37" i="11"/>
  <c r="E7" i="37" s="1"/>
  <c r="A44" i="23"/>
  <c r="B44" i="23" s="1"/>
  <c r="K25" i="11"/>
  <c r="T53" i="20"/>
  <c r="G26" i="11" s="1"/>
  <c r="S53" i="20"/>
  <c r="F26" i="11" s="1"/>
  <c r="O54" i="20"/>
  <c r="P54" i="20"/>
  <c r="Q54" i="20"/>
  <c r="R54" i="20"/>
  <c r="A45" i="23" l="1"/>
  <c r="B45" i="23" s="1"/>
  <c r="K26" i="11"/>
  <c r="P26" i="11" s="1"/>
  <c r="Q26" i="11" s="1"/>
  <c r="S54" i="20"/>
  <c r="F27" i="11" s="1"/>
  <c r="T54" i="20"/>
  <c r="G27" i="11" s="1"/>
  <c r="O55" i="20"/>
  <c r="P55" i="20"/>
  <c r="Q55" i="20"/>
  <c r="R55" i="20"/>
  <c r="A46" i="23" l="1"/>
  <c r="B46" i="23" s="1"/>
  <c r="K27" i="11"/>
  <c r="P27" i="11" s="1"/>
  <c r="Q27" i="11" s="1"/>
  <c r="S55" i="20"/>
  <c r="F28" i="11" s="1"/>
  <c r="T55" i="20"/>
  <c r="G28" i="11" s="1"/>
  <c r="O56" i="20"/>
  <c r="P56" i="20"/>
  <c r="Q56" i="20"/>
  <c r="R56" i="20"/>
  <c r="A47" i="23" l="1"/>
  <c r="B47" i="23" s="1"/>
  <c r="K28" i="11"/>
  <c r="P28" i="11" s="1"/>
  <c r="Q28" i="11" s="1"/>
  <c r="T56" i="20"/>
  <c r="G29" i="11" s="1"/>
  <c r="S56" i="20"/>
  <c r="F29" i="11" s="1"/>
  <c r="O57" i="20"/>
  <c r="P57" i="20"/>
  <c r="R57" i="20"/>
  <c r="Q57" i="20"/>
  <c r="A48" i="23" l="1"/>
  <c r="B48" i="23" s="1"/>
  <c r="K29" i="11"/>
  <c r="P29" i="11" s="1"/>
  <c r="Q29" i="11" s="1"/>
  <c r="S57" i="20"/>
  <c r="F30" i="11" s="1"/>
  <c r="T57" i="20"/>
  <c r="G30" i="11" s="1"/>
  <c r="O58" i="20"/>
  <c r="P58" i="20"/>
  <c r="Q58" i="20"/>
  <c r="R58" i="20"/>
  <c r="A49" i="23" l="1"/>
  <c r="B49" i="23" s="1"/>
  <c r="K30" i="11"/>
  <c r="P30" i="11" s="1"/>
  <c r="Q30" i="11" s="1"/>
  <c r="S58" i="20"/>
  <c r="F31" i="11" s="1"/>
  <c r="T58" i="20"/>
  <c r="G31" i="11" s="1"/>
  <c r="O59" i="20"/>
  <c r="P59" i="20"/>
  <c r="Q59" i="20"/>
  <c r="R59" i="20"/>
  <c r="A50" i="23" l="1"/>
  <c r="B50" i="23" s="1"/>
  <c r="K31" i="11"/>
  <c r="P31" i="11" s="1"/>
  <c r="Q31" i="11" s="1"/>
  <c r="S59" i="20"/>
  <c r="F32" i="11" s="1"/>
  <c r="T59" i="20"/>
  <c r="G32" i="11" s="1"/>
  <c r="O60" i="20"/>
  <c r="P60" i="20"/>
  <c r="Q60" i="20"/>
  <c r="R60" i="20"/>
  <c r="A51" i="23" l="1"/>
  <c r="B51" i="23" s="1"/>
  <c r="K32" i="11"/>
  <c r="P32" i="11" s="1"/>
  <c r="Q32" i="11" s="1"/>
  <c r="S60" i="20"/>
  <c r="F33" i="11" s="1"/>
  <c r="T60" i="20"/>
  <c r="G33" i="11" s="1"/>
  <c r="O61" i="20"/>
  <c r="P61" i="20"/>
  <c r="R61" i="20"/>
  <c r="Q61" i="20"/>
  <c r="A52" i="23" l="1"/>
  <c r="B52" i="23" s="1"/>
  <c r="K33" i="11"/>
  <c r="P33" i="11" s="1"/>
  <c r="Q33" i="11" s="1"/>
  <c r="S61" i="20"/>
  <c r="F34" i="11" s="1"/>
  <c r="T61" i="20"/>
  <c r="G34" i="11" s="1"/>
  <c r="O62" i="20"/>
  <c r="P62" i="20"/>
  <c r="Q62" i="20"/>
  <c r="R62" i="20"/>
  <c r="K34" i="11" l="1"/>
  <c r="P34" i="11" s="1"/>
  <c r="Q34" i="11" s="1"/>
  <c r="S62" i="20"/>
  <c r="F35" i="11" s="1"/>
  <c r="T62" i="20"/>
  <c r="G35" i="11" s="1"/>
  <c r="K35" i="11" l="1"/>
  <c r="K37" i="11" l="1"/>
  <c r="K36" i="11"/>
  <c r="P35" i="11"/>
  <c r="Q35" i="11" l="1"/>
  <c r="B10" i="34"/>
  <c r="B26" i="33" l="1"/>
  <c r="D26" i="33" s="1"/>
  <c r="B11" i="34"/>
  <c r="E6" i="11" l="1"/>
  <c r="H27" i="33"/>
  <c r="B33" i="20"/>
  <c r="S33" i="20" s="1"/>
  <c r="F6" i="11" s="1"/>
  <c r="D33" i="20"/>
  <c r="T33" i="20" s="1"/>
  <c r="AB34" i="20" s="1"/>
  <c r="D34" i="20"/>
  <c r="T34" i="20" s="1"/>
  <c r="G7" i="11" s="1"/>
  <c r="B12" i="34"/>
  <c r="B34" i="20"/>
  <c r="S34" i="20" s="1"/>
  <c r="F7" i="11" s="1"/>
  <c r="B27" i="33"/>
  <c r="D27" i="33" s="1"/>
  <c r="E7" i="11" s="1"/>
  <c r="G6" i="11" l="1"/>
  <c r="P6" i="11" s="1"/>
  <c r="Q6" i="11" s="1"/>
  <c r="P7" i="11"/>
  <c r="Q7" i="11" s="1"/>
  <c r="D35" i="20"/>
  <c r="T35" i="20" s="1"/>
  <c r="G8" i="11" s="1"/>
  <c r="B28" i="33"/>
  <c r="D28" i="33" s="1"/>
  <c r="E8" i="11" s="1"/>
  <c r="B13" i="34"/>
  <c r="B35" i="20"/>
  <c r="S35" i="20" s="1"/>
  <c r="F8" i="11" s="1"/>
  <c r="B14" i="34" l="1"/>
  <c r="B36" i="20"/>
  <c r="S36" i="20" s="1"/>
  <c r="F9" i="11" s="1"/>
  <c r="D36" i="20"/>
  <c r="T36" i="20" s="1"/>
  <c r="G9" i="11" s="1"/>
  <c r="B29" i="33"/>
  <c r="D29" i="33" s="1"/>
  <c r="E9" i="11" s="1"/>
  <c r="P8" i="11"/>
  <c r="P9" i="11" l="1"/>
  <c r="Q9" i="11" s="1"/>
  <c r="Q8" i="11"/>
  <c r="B30" i="33"/>
  <c r="D30" i="33" s="1"/>
  <c r="E10" i="11" s="1"/>
  <c r="B37" i="20"/>
  <c r="S37" i="20" s="1"/>
  <c r="F10" i="11" s="1"/>
  <c r="B15" i="34"/>
  <c r="D37" i="20"/>
  <c r="T37" i="20" s="1"/>
  <c r="G10" i="11" s="1"/>
  <c r="B31" i="33" l="1"/>
  <c r="D31" i="33" s="1"/>
  <c r="E11" i="11" s="1"/>
  <c r="B16" i="34"/>
  <c r="B38" i="20"/>
  <c r="S38" i="20" s="1"/>
  <c r="F11" i="11" s="1"/>
  <c r="D38" i="20"/>
  <c r="T38" i="20" s="1"/>
  <c r="G11" i="11" s="1"/>
  <c r="P10" i="11"/>
  <c r="Q10" i="11" l="1"/>
  <c r="B32" i="33"/>
  <c r="D32" i="33" s="1"/>
  <c r="E12" i="11" s="1"/>
  <c r="B39" i="20"/>
  <c r="S39" i="20" s="1"/>
  <c r="F12" i="11" s="1"/>
  <c r="D39" i="20"/>
  <c r="T39" i="20" s="1"/>
  <c r="G12" i="11" s="1"/>
  <c r="B17" i="34"/>
  <c r="P11" i="11"/>
  <c r="Q11" i="11" s="1"/>
  <c r="B40" i="20" l="1"/>
  <c r="S40" i="20" s="1"/>
  <c r="F13" i="11" s="1"/>
  <c r="B18" i="34"/>
  <c r="D40" i="20"/>
  <c r="T40" i="20" s="1"/>
  <c r="G13" i="11" s="1"/>
  <c r="B33" i="33"/>
  <c r="D33" i="33" s="1"/>
  <c r="E13" i="11" s="1"/>
  <c r="P12" i="11"/>
  <c r="Q12" i="11" s="1"/>
  <c r="P13" i="11" l="1"/>
  <c r="B19" i="34"/>
  <c r="B41" i="20"/>
  <c r="S41" i="20" s="1"/>
  <c r="F14" i="11" s="1"/>
  <c r="B34" i="33"/>
  <c r="D34" i="33" s="1"/>
  <c r="E14" i="11" s="1"/>
  <c r="D41" i="20"/>
  <c r="T41" i="20" s="1"/>
  <c r="G14" i="11" s="1"/>
  <c r="P14" i="11" l="1"/>
  <c r="Q14" i="11" s="1"/>
  <c r="D42" i="20"/>
  <c r="T42" i="20" s="1"/>
  <c r="G15" i="11" s="1"/>
  <c r="B20" i="34"/>
  <c r="B42" i="20"/>
  <c r="S42" i="20" s="1"/>
  <c r="F15" i="11" s="1"/>
  <c r="B35" i="33"/>
  <c r="D35" i="33" s="1"/>
  <c r="E15" i="11" s="1"/>
  <c r="Q13" i="11"/>
  <c r="P15" i="11" l="1"/>
  <c r="Q15" i="11" s="1"/>
  <c r="B43" i="20"/>
  <c r="S43" i="20" s="1"/>
  <c r="F16" i="11" s="1"/>
  <c r="B36" i="33"/>
  <c r="D36" i="33" s="1"/>
  <c r="E16" i="11" s="1"/>
  <c r="B21" i="34"/>
  <c r="D43" i="20"/>
  <c r="T43" i="20" s="1"/>
  <c r="G16" i="11" s="1"/>
  <c r="B22" i="34" l="1"/>
  <c r="B44" i="20"/>
  <c r="S44" i="20" s="1"/>
  <c r="F17" i="11" s="1"/>
  <c r="D44" i="20"/>
  <c r="T44" i="20" s="1"/>
  <c r="G17" i="11" s="1"/>
  <c r="B37" i="33"/>
  <c r="D37" i="33" s="1"/>
  <c r="E17" i="11" s="1"/>
  <c r="P16" i="11"/>
  <c r="Q16" i="11" s="1"/>
  <c r="P17" i="11" l="1"/>
  <c r="Q17" i="11" s="1"/>
  <c r="B38" i="33"/>
  <c r="D38" i="33" s="1"/>
  <c r="E18" i="11" s="1"/>
  <c r="D45" i="20"/>
  <c r="T45" i="20" s="1"/>
  <c r="G18" i="11" s="1"/>
  <c r="B23" i="34"/>
  <c r="B45" i="20"/>
  <c r="S45" i="20" s="1"/>
  <c r="F18" i="11" s="1"/>
  <c r="B39" i="33" l="1"/>
  <c r="D39" i="33" s="1"/>
  <c r="E19" i="11" s="1"/>
  <c r="B24" i="34"/>
  <c r="B46" i="20"/>
  <c r="S46" i="20" s="1"/>
  <c r="F19" i="11" s="1"/>
  <c r="D46" i="20"/>
  <c r="T46" i="20" s="1"/>
  <c r="G19" i="11" s="1"/>
  <c r="P18" i="11"/>
  <c r="Q18" i="11" s="1"/>
  <c r="P19" i="11" l="1"/>
  <c r="Q19" i="11" s="1"/>
  <c r="B40" i="33"/>
  <c r="D40" i="33" s="1"/>
  <c r="E20" i="11" s="1"/>
  <c r="B47" i="20"/>
  <c r="S47" i="20" s="1"/>
  <c r="F20" i="11" s="1"/>
  <c r="B25" i="34"/>
  <c r="D47" i="20"/>
  <c r="T47" i="20" s="1"/>
  <c r="G20" i="11" s="1"/>
  <c r="P20" i="11" l="1"/>
  <c r="Q20" i="11" s="1"/>
  <c r="B41" i="33"/>
  <c r="D41" i="33" s="1"/>
  <c r="E21" i="11" s="1"/>
  <c r="B48" i="20"/>
  <c r="S48" i="20" s="1"/>
  <c r="F21" i="11" s="1"/>
  <c r="D48" i="20"/>
  <c r="T48" i="20" s="1"/>
  <c r="G21" i="11" s="1"/>
  <c r="B26" i="34"/>
  <c r="B49" i="20" l="1"/>
  <c r="S49" i="20" s="1"/>
  <c r="F22" i="11" s="1"/>
  <c r="B27" i="34"/>
  <c r="D49" i="20"/>
  <c r="T49" i="20" s="1"/>
  <c r="G22" i="11" s="1"/>
  <c r="B42" i="33"/>
  <c r="D42" i="33" s="1"/>
  <c r="E22" i="11" s="1"/>
  <c r="P21" i="11"/>
  <c r="Q21" i="11" s="1"/>
  <c r="P22" i="11" l="1"/>
  <c r="Q22" i="11" s="1"/>
  <c r="B50" i="20"/>
  <c r="S50" i="20" s="1"/>
  <c r="F23" i="11" s="1"/>
  <c r="B43" i="33"/>
  <c r="D43" i="33" s="1"/>
  <c r="E23" i="11" s="1"/>
  <c r="D50" i="20"/>
  <c r="T50" i="20" s="1"/>
  <c r="G23" i="11" s="1"/>
  <c r="B28" i="34"/>
  <c r="P23" i="11" l="1"/>
  <c r="Q23" i="11" s="1"/>
  <c r="B29" i="34"/>
  <c r="D51" i="20"/>
  <c r="T51" i="20" s="1"/>
  <c r="G24" i="11" s="1"/>
  <c r="B51" i="20"/>
  <c r="S51" i="20" s="1"/>
  <c r="F24" i="11" s="1"/>
  <c r="B44" i="33"/>
  <c r="D44" i="33" s="1"/>
  <c r="E24" i="11" s="1"/>
  <c r="P24" i="11" l="1"/>
  <c r="Q24" i="11" s="1"/>
  <c r="D52" i="20"/>
  <c r="T52" i="20" s="1"/>
  <c r="G25" i="11" s="1"/>
  <c r="B45" i="33"/>
  <c r="D45" i="33" s="1"/>
  <c r="E25" i="11" s="1"/>
  <c r="B52" i="20"/>
  <c r="S52" i="20" s="1"/>
  <c r="F25" i="11" s="1"/>
  <c r="F36" i="11" l="1"/>
  <c r="F37" i="11"/>
  <c r="P25" i="11"/>
  <c r="E36" i="11"/>
  <c r="D8" i="37" s="1"/>
  <c r="E37" i="11"/>
  <c r="E8" i="37" s="1"/>
  <c r="G36" i="11"/>
  <c r="G37" i="11"/>
  <c r="E9" i="37" l="1"/>
  <c r="E12" i="37"/>
  <c r="C14" i="37" s="1"/>
  <c r="D9" i="37"/>
  <c r="D12" i="37" s="1"/>
  <c r="Q25" i="11"/>
  <c r="Q37" i="11" s="1"/>
  <c r="B5" i="30" s="1"/>
  <c r="P37" i="11"/>
  <c r="P36" i="11"/>
  <c r="B8" i="30" l="1"/>
  <c r="B7" i="30"/>
  <c r="Y45" i="36" l="1"/>
  <c r="C1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Davis</author>
  </authors>
  <commentList>
    <comment ref="I32" authorId="0" shapeId="0" xr:uid="{428047E9-35C8-4655-BC51-50378F10A478}">
      <text>
        <r>
          <rPr>
            <b/>
            <sz val="9"/>
            <color indexed="81"/>
            <rFont val="Tahoma"/>
            <family val="2"/>
          </rPr>
          <t>Matt Davis:</t>
        </r>
        <r>
          <rPr>
            <sz val="9"/>
            <color indexed="81"/>
            <rFont val="Tahoma"/>
            <family val="2"/>
          </rPr>
          <t xml:space="preserve">
Pedestrian &amp; Cyclist only.</t>
        </r>
      </text>
    </comment>
  </commentList>
</comments>
</file>

<file path=xl/sharedStrings.xml><?xml version="1.0" encoding="utf-8"?>
<sst xmlns="http://schemas.openxmlformats.org/spreadsheetml/2006/main" count="920" uniqueCount="519">
  <si>
    <t>Total Discounted Benefits</t>
  </si>
  <si>
    <t>Total Discounted Costs</t>
  </si>
  <si>
    <t>Net Present Value</t>
  </si>
  <si>
    <t>Benefit Cost Ratio</t>
  </si>
  <si>
    <t>Year</t>
  </si>
  <si>
    <t>Capital Cost</t>
  </si>
  <si>
    <t>Discounted Capital Cost</t>
  </si>
  <si>
    <t>Operations and Maintenance</t>
  </si>
  <si>
    <t>Safety</t>
  </si>
  <si>
    <t>Travel Time Savings</t>
  </si>
  <si>
    <t>Vehicle Operating Cost Savings</t>
  </si>
  <si>
    <t>Non-CO2 Emission Reduction</t>
  </si>
  <si>
    <t>CO2 Emission Reduction</t>
  </si>
  <si>
    <t>Health Benefits</t>
  </si>
  <si>
    <t>Amenity Benefits</t>
  </si>
  <si>
    <t>Other Benefit 1</t>
  </si>
  <si>
    <t>Other Benefit 2</t>
  </si>
  <si>
    <t>Other Benefit 3</t>
  </si>
  <si>
    <t>Other Benefit 4</t>
  </si>
  <si>
    <t>Total Benefits</t>
  </si>
  <si>
    <t>Residual Value</t>
  </si>
  <si>
    <t>Total</t>
  </si>
  <si>
    <t>KABCO Level</t>
  </si>
  <si>
    <t>O - No Injury</t>
  </si>
  <si>
    <t>C - Possible Injury</t>
  </si>
  <si>
    <t>B - Non-incapacitating</t>
  </si>
  <si>
    <t>A - Incapacitating</t>
  </si>
  <si>
    <t>K - Killed</t>
  </si>
  <si>
    <t>U - Injured (Severity Unknown)</t>
  </si>
  <si>
    <t>Crash Type</t>
  </si>
  <si>
    <t>Injury Crash</t>
  </si>
  <si>
    <t>Fatal Crash</t>
  </si>
  <si>
    <t>Recommended Hourly Values of Travel Time Savings</t>
  </si>
  <si>
    <t>Category</t>
  </si>
  <si>
    <t>Hourly Value</t>
  </si>
  <si>
    <t>General Travel Time</t>
  </si>
  <si>
    <t>Truck Drivers</t>
  </si>
  <si>
    <t>Bus Drivers</t>
  </si>
  <si>
    <t>Transit Rail Operators</t>
  </si>
  <si>
    <t>Locomotive Engineers</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</si>
  <si>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</si>
  <si>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</si>
  <si>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</si>
  <si>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</si>
  <si>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</si>
  <si>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2)  Weighted average based on a typical distribution of local travel by surface modes (88.2% personal, 11.8% business). Applicants should apply their own distribution of business versus personal travel where such information is available.</t>
  </si>
  <si>
    <t>4)  Should be applied only when actions affect those elements of travel time.</t>
  </si>
  <si>
    <t>5)  Includes only the value of time for the operator, not passengers or freight.</t>
  </si>
  <si>
    <t>Vehicle Type</t>
  </si>
  <si>
    <t>Average Occupancy</t>
  </si>
  <si>
    <t>Passenger Vehicles (Weekday Off-Peak)</t>
  </si>
  <si>
    <t>Passenger Vehicles (Weekend)</t>
  </si>
  <si>
    <t>Passenger Vehicles (All Travel)</t>
  </si>
  <si>
    <r>
      <t>Passenger Vehicles (Weekday Peak)</t>
    </r>
    <r>
      <rPr>
        <vertAlign val="superscript"/>
        <sz val="11"/>
        <color rgb="FF1F497D"/>
        <rFont val="Times New Roman"/>
        <family val="1"/>
      </rPr>
      <t>1</t>
    </r>
  </si>
  <si>
    <t>1) Weekday peak period values calculated for trips starting between 6:00 AM-8:59 AM and 4:00 PM-6:59 PM.</t>
  </si>
  <si>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</si>
  <si>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</si>
  <si>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Emission Type</t>
  </si>
  <si>
    <t>Table A-6: Damage Costs for Emissions per Metric Ton*</t>
  </si>
  <si>
    <t>Table A-7: Inflation Adjustment Values</t>
  </si>
  <si>
    <t>Base Year of Nominal Dollar</t>
  </si>
  <si>
    <t>Table A-8: Pedestrian Facility Improvements Revealed Preference Values</t>
  </si>
  <si>
    <t>Improvement Type</t>
  </si>
  <si>
    <t>Reducing Upslope by 1%</t>
  </si>
  <si>
    <t>Reducing Traffic Volume by 1 Vehicle per Hour (for ADT &lt;55,000)</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</si>
  <si>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</si>
  <si>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</si>
  <si>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</si>
  <si>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</si>
  <si>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</si>
  <si>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t>Cycling Path with At-Grade Crossings</t>
  </si>
  <si>
    <t>Dedicated Cycling Lane</t>
  </si>
  <si>
    <t>Cycling Boulevard/“Sharrow”</t>
  </si>
  <si>
    <t>Separated Cycle Track</t>
  </si>
  <si>
    <r>
      <t>Cycling Path with no At-Grade Crossings</t>
    </r>
    <r>
      <rPr>
        <vertAlign val="superscript"/>
        <sz val="11"/>
        <color rgb="FF1F497D"/>
        <rFont val="Times New Roman"/>
        <family val="1"/>
      </rPr>
      <t>2</t>
    </r>
  </si>
  <si>
    <t>2) The value for a cycling path with no at-grade intersections is higher due to an assumption of higher average speed of 12.1 miles per hour, resulting in less time on the facility, which lowers journey quality benefits but increases travel time savings.</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</si>
  <si>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</si>
  <si>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r>
      <t>Light Duty Vehicles</t>
    </r>
    <r>
      <rPr>
        <vertAlign val="superscript"/>
        <sz val="11"/>
        <color theme="1"/>
        <rFont val="Times New Roman"/>
        <family val="1"/>
      </rPr>
      <t>1</t>
    </r>
  </si>
  <si>
    <r>
      <t>Commercial Trucks</t>
    </r>
    <r>
      <rPr>
        <vertAlign val="superscript"/>
        <sz val="11"/>
        <color theme="1"/>
        <rFont val="Times New Roman"/>
        <family val="1"/>
      </rPr>
      <t>2</t>
    </r>
  </si>
  <si>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</si>
  <si>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r>
      <t>Expand Sidewalk (per foot of added width)</t>
    </r>
    <r>
      <rPr>
        <vertAlign val="superscript"/>
        <sz val="11"/>
        <color rgb="FF1F497D"/>
        <rFont val="Times New Roman"/>
        <family val="1"/>
      </rPr>
      <t>2</t>
    </r>
  </si>
  <si>
    <t>Reducing Traffic Speed by 1 mph (for speeds ≤45 mph)</t>
  </si>
  <si>
    <t>Install Marked-Crosswalk on Roadway with Volumes ≥10,000 Vehicle per Day</t>
  </si>
  <si>
    <t>Table A-10: Transit Facility Amenity Revealed and Stated Preference Values</t>
  </si>
  <si>
    <t>Attribute Type</t>
  </si>
  <si>
    <t>Bus</t>
  </si>
  <si>
    <t>Bus Stop</t>
  </si>
  <si>
    <t>Rail Station</t>
  </si>
  <si>
    <t>Light Rail /Streetcar Stop</t>
  </si>
  <si>
    <t>Clocks</t>
  </si>
  <si>
    <t>Electronic Real-Time Information Displays</t>
  </si>
  <si>
    <t>Information /Emergency Button</t>
  </si>
  <si>
    <t>PA System</t>
  </si>
  <si>
    <t>Restroom Availability</t>
  </si>
  <si>
    <t>Retail/Food Outlet Availability</t>
  </si>
  <si>
    <t>Staff Availability</t>
  </si>
  <si>
    <t>Step-Free Access to Station/Stop</t>
  </si>
  <si>
    <t>Step-Free Access to Vehicle</t>
  </si>
  <si>
    <t>Surveillance Cameras</t>
  </si>
  <si>
    <t>Ticket Machines</t>
  </si>
  <si>
    <t>Timetables</t>
  </si>
  <si>
    <t>Bike Facilities</t>
  </si>
  <si>
    <t>*</t>
  </si>
  <si>
    <t>Car Access Facilities</t>
  </si>
  <si>
    <t>Elevator</t>
  </si>
  <si>
    <t>Escalators</t>
  </si>
  <si>
    <t>On-Site Ticket Office</t>
  </si>
  <si>
    <t>Taxi Pickup/Dropoff</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</si>
  <si>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</si>
  <si>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</si>
  <si>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r>
      <t>Temperature Controlled Environment</t>
    </r>
    <r>
      <rPr>
        <vertAlign val="superscript"/>
        <sz val="11"/>
        <color rgb="FF1F497D"/>
        <rFont val="Times New Roman"/>
        <family val="1"/>
      </rPr>
      <t>1</t>
    </r>
  </si>
  <si>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</si>
  <si>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</si>
  <si>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</si>
  <si>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</si>
  <si>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</si>
  <si>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</si>
  <si>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</si>
  <si>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</si>
  <si>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</si>
  <si>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</si>
  <si>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</si>
  <si>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</si>
  <si>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t>Streetcar or On-Street Light Rail Transit</t>
  </si>
  <si>
    <t>Off-Street Light Rail Transit</t>
  </si>
  <si>
    <t>Heavy Rail</t>
  </si>
  <si>
    <t>Commuter Rail</t>
  </si>
  <si>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</si>
  <si>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</si>
  <si>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</si>
  <si>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</si>
  <si>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</si>
  <si>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</si>
  <si>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Table A-13: Mortality Reduction Benefits of Induced Active Transportation Values</t>
  </si>
  <si>
    <t>Table A-14: External Highway Use Costs</t>
  </si>
  <si>
    <t>Mode</t>
  </si>
  <si>
    <r>
      <t>Walking</t>
    </r>
    <r>
      <rPr>
        <vertAlign val="superscript"/>
        <sz val="11"/>
        <color theme="1"/>
        <rFont val="Calibri"/>
        <family val="2"/>
        <scheme val="minor"/>
      </rPr>
      <t>1</t>
    </r>
  </si>
  <si>
    <r>
      <t>Cycling</t>
    </r>
    <r>
      <rPr>
        <vertAlign val="superscript"/>
        <sz val="11"/>
        <color theme="1"/>
        <rFont val="Calibri"/>
        <family val="2"/>
        <scheme val="minor"/>
      </rPr>
      <t>2</t>
    </r>
  </si>
  <si>
    <t>Ages 20-74</t>
  </si>
  <si>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</si>
  <si>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</si>
  <si>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</si>
  <si>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</si>
  <si>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</si>
  <si>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Vehicle Type and Location</t>
  </si>
  <si>
    <t>Congestion</t>
  </si>
  <si>
    <t>Noise</t>
  </si>
  <si>
    <t>Safety Cost</t>
  </si>
  <si>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</si>
  <si>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</si>
  <si>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</si>
  <si>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</si>
  <si>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</si>
  <si>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</si>
  <si>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</si>
  <si>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</si>
  <si>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</si>
  <si>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Capital Cost in Year-of-Expenditure Dollars</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</si>
  <si>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</si>
  <si>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&lt;- Benefit Name</t>
  </si>
  <si>
    <t>Model Base Year</t>
  </si>
  <si>
    <t>Workspace - Applicants may create new sheets for more space</t>
  </si>
  <si>
    <t>Note that not all projects will have all benefit categories. Conversely, if more categories are needed, applicants may need to add additional columns, but be sure to edit the formula under "Total Benefits" to ensure all benefits are being correctly summed.</t>
  </si>
  <si>
    <t>Net Change in Operations and Maintenance Costs</t>
  </si>
  <si>
    <t>Opening Year</t>
  </si>
  <si>
    <t>Length of Construction/Project Development Period (in Years)</t>
  </si>
  <si>
    <t>Operational Period Length</t>
  </si>
  <si>
    <t>&lt;-Enter a whole number value between 1 and 15, only include project development years after the model base year</t>
  </si>
  <si>
    <t>Safety Benefits</t>
  </si>
  <si>
    <t>Travel Time Benefits</t>
  </si>
  <si>
    <t>Final Analysis Year</t>
  </si>
  <si>
    <t>No Build Operations and Maintenance Costs</t>
  </si>
  <si>
    <t>Build Operations and Maintenance Costs</t>
  </si>
  <si>
    <t>No Build Safety Costs</t>
  </si>
  <si>
    <t>Build Safety Costs</t>
  </si>
  <si>
    <t>No Build Travel Time Costs</t>
  </si>
  <si>
    <t>Build Travel Time Costs</t>
  </si>
  <si>
    <t>No Build Vehicle Operating Costs</t>
  </si>
  <si>
    <t>Build Vehicle Operating Costs</t>
  </si>
  <si>
    <t>Discounted Total</t>
  </si>
  <si>
    <t>Applicants should fill out this sheet first, before moving on to the remainder of the template sheets.</t>
  </si>
  <si>
    <t xml:space="preserve">In this "Capital Costs" sheet,  values should be entered as year-of-expenditure dollars. The template will automatically apply discounting to all costs and benefits for you. </t>
  </si>
  <si>
    <t>Business</t>
  </si>
  <si>
    <t>All Purpose</t>
  </si>
  <si>
    <t>Walking, Cycling, Waiting, Standing, and Transfer Time</t>
  </si>
  <si>
    <t>Commercial Vehicle Operators</t>
  </si>
  <si>
    <t>Personal</t>
  </si>
  <si>
    <t>Pedestrians</t>
  </si>
  <si>
    <t>Cyclists</t>
  </si>
  <si>
    <t>Vehicles</t>
  </si>
  <si>
    <t>Trucks</t>
  </si>
  <si>
    <t>Trains</t>
  </si>
  <si>
    <t>No Build</t>
  </si>
  <si>
    <t>Build</t>
  </si>
  <si>
    <t>[Other Modes]</t>
  </si>
  <si>
    <t>Light Duty Vehicles</t>
  </si>
  <si>
    <t>Commercial Trucks</t>
  </si>
  <si>
    <t>Applicable Age Range</t>
  </si>
  <si>
    <t>Walking</t>
  </si>
  <si>
    <t>Cycling</t>
  </si>
  <si>
    <t>---------------------------------------------------------------------------------------------------------------------------------------------------------------------------------------------------------------</t>
  </si>
  <si>
    <t>-------------------------------------------------------------------------------------------------------------------------------------------------------------------------------------------------------------</t>
  </si>
  <si>
    <t>What You Need</t>
  </si>
  <si>
    <t>Notes</t>
  </si>
  <si>
    <t>Parameter Values</t>
  </si>
  <si>
    <t>-</t>
  </si>
  <si>
    <r>
      <t>Applicable Age Range</t>
    </r>
    <r>
      <rPr>
        <vertAlign val="superscript"/>
        <sz val="11"/>
        <color theme="0"/>
        <rFont val="Calibri"/>
        <family val="2"/>
        <scheme val="minor"/>
      </rPr>
      <t>3</t>
    </r>
  </si>
  <si>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</si>
  <si>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</si>
  <si>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</si>
  <si>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</si>
  <si>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Project Information</t>
  </si>
  <si>
    <t>Table 1. Project Information</t>
  </si>
  <si>
    <t>Variable</t>
  </si>
  <si>
    <t>Value</t>
  </si>
  <si>
    <t>If you do not wish to use this sheet, simply leave the values blank and move on to the next sheet.</t>
  </si>
  <si>
    <t xml:space="preserve">Users are free to use only the necessary columns for their application and/or to add additional columns as necessary. </t>
  </si>
  <si>
    <t>Table 1. BCA Results</t>
  </si>
  <si>
    <t>Table 1. Volumes by Mode</t>
  </si>
  <si>
    <t>Capital Costs</t>
  </si>
  <si>
    <t>Benefit Cost Analysis Results</t>
  </si>
  <si>
    <t>Summary by Benefit Area</t>
  </si>
  <si>
    <t>Operations and Maintenance Costs</t>
  </si>
  <si>
    <t>Vehicle Operating Costs</t>
  </si>
  <si>
    <t>Emissions Reduction</t>
  </si>
  <si>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</si>
  <si>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</si>
  <si>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</si>
  <si>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</si>
  <si>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</si>
  <si>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</si>
  <si>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 Build CO</t>
    </r>
    <r>
      <rPr>
        <vertAlign val="subscript"/>
        <sz val="11"/>
        <color theme="0"/>
        <rFont val="Calibri"/>
        <family val="2"/>
        <scheme val="minor"/>
      </rPr>
      <t>2</t>
    </r>
    <r>
      <rPr>
        <sz val="11"/>
        <color theme="0"/>
        <rFont val="Calibri"/>
        <family val="2"/>
        <scheme val="minor"/>
      </rPr>
      <t xml:space="preserve"> (mt)</t>
    </r>
  </si>
  <si>
    <r>
      <t>Build CO</t>
    </r>
    <r>
      <rPr>
        <vertAlign val="subscript"/>
        <sz val="11"/>
        <color theme="0"/>
        <rFont val="Calibri"/>
        <family val="2"/>
        <scheme val="minor"/>
      </rPr>
      <t>2</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</si>
  <si>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</si>
  <si>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</si>
  <si>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</si>
  <si>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r>
      <t>CO</t>
    </r>
    <r>
      <rPr>
        <vertAlign val="subscript"/>
        <sz val="11"/>
        <color theme="0"/>
        <rFont val="Calibri"/>
        <family val="2"/>
        <scheme val="minor"/>
      </rPr>
      <t>2</t>
    </r>
  </si>
  <si>
    <r>
      <t>Non-CO</t>
    </r>
    <r>
      <rPr>
        <vertAlign val="subscript"/>
        <sz val="11"/>
        <color theme="0"/>
        <rFont val="Calibri"/>
        <family val="2"/>
        <scheme val="minor"/>
      </rPr>
      <t>2</t>
    </r>
    <r>
      <rPr>
        <sz val="11"/>
        <color theme="0"/>
        <rFont val="Calibri"/>
        <family val="2"/>
        <scheme val="minor"/>
      </rPr>
      <t xml:space="preserve"> Emission Reduction</t>
    </r>
  </si>
  <si>
    <r>
      <t>CO</t>
    </r>
    <r>
      <rPr>
        <vertAlign val="subscript"/>
        <sz val="11"/>
        <color theme="0"/>
        <rFont val="Calibri"/>
        <family val="2"/>
        <scheme val="minor"/>
      </rPr>
      <t>2</t>
    </r>
    <r>
      <rPr>
        <sz val="11"/>
        <color theme="0"/>
        <rFont val="Calibri"/>
        <family val="2"/>
        <scheme val="minor"/>
      </rPr>
      <t xml:space="preserve"> Emission Reduction</t>
    </r>
  </si>
  <si>
    <t>This is an extra benefit sheet for an additional benefit category not captured elsewhere</t>
  </si>
  <si>
    <t xml:space="preserve">Note that if more than four "other benefit" categories are needed, applicants may create a copy of this sheet (and rename accordingly). </t>
  </si>
  <si>
    <t>Additionally, the formulas in the "Total Benefits" column may need to be adjusted to ensure all benefits are being summed correctly.</t>
  </si>
  <si>
    <t>Additionally, the "Summary" sheet will need to be edited to include additional columns for benefits.</t>
  </si>
  <si>
    <t>Table 1. Summary of Benefits</t>
  </si>
  <si>
    <t>Table 2. Summary of Costs</t>
  </si>
  <si>
    <t>Note that not all projects will have benefits in all categories. In such cases, simply leave the input values in that sheet as zeros and move to the next sheet.</t>
  </si>
  <si>
    <t>Table 1. Recommended Monetization Values</t>
  </si>
  <si>
    <t>Table 2. Safety</t>
  </si>
  <si>
    <t>Table 2. Travel Time Savings</t>
  </si>
  <si>
    <t>Table 2. Vehicle Operating Costs</t>
  </si>
  <si>
    <t>Table 2. Amenity Benefits</t>
  </si>
  <si>
    <t>Table 2. Health Benefits</t>
  </si>
  <si>
    <t>Table 1. Other Benefit</t>
  </si>
  <si>
    <t xml:space="preserve">For recommended monetization values, please refer to the Parameter Values tab directly. </t>
  </si>
  <si>
    <t>There are numerous potential values for pedestrian facilities, bicycle facilities, transit vehicles, and transit stations.</t>
  </si>
  <si>
    <t>Table 1. Operations and Maintenance</t>
  </si>
  <si>
    <t>Table 1. Capital Costs</t>
  </si>
  <si>
    <r>
      <t xml:space="preserve">•  	</t>
    </r>
    <r>
      <rPr>
        <b/>
        <sz val="11"/>
        <rFont val="Calibri"/>
        <family val="2"/>
        <scheme val="minor"/>
      </rPr>
      <t xml:space="preserve">Deleting a Tab. </t>
    </r>
    <r>
      <rPr>
        <sz val="11"/>
        <rFont val="Calibri"/>
        <family val="2"/>
        <scheme val="minor"/>
      </rPr>
      <t>Do not delete tabs. If a tab is not needed, simply skip it.</t>
    </r>
  </si>
  <si>
    <t>Avoided Externalities</t>
  </si>
  <si>
    <t>Congestion Cost per VMT</t>
  </si>
  <si>
    <t>Noise Cost per VMT</t>
  </si>
  <si>
    <t>Safety Cost per VMT</t>
  </si>
  <si>
    <t>Table 2. Avoided Externality Benefits</t>
  </si>
  <si>
    <t>Avoided Highway Externality</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</si>
  <si>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</si>
  <si>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t>&lt;-The BCR will be estimated once capital costs are entered in the 'Capital Cost' sheet</t>
  </si>
  <si>
    <t>Table A-1a: Value of Reduced Fatalities, Injuries, and Crashes</t>
  </si>
  <si>
    <t>PDO Crash</t>
  </si>
  <si>
    <t>Table A-2: Value of Travel Time Savings</t>
  </si>
  <si>
    <t>Table A-3: Average Vehicle Occupancy Rates for Highway Passenger Vehicles</t>
  </si>
  <si>
    <t>Table A-4: Vehicle Operating Costs</t>
  </si>
  <si>
    <t>Table A-5: Train Operating and Social Costs</t>
  </si>
  <si>
    <t>*Applicants should carefully note whether their emissions data is reported in short tons or metric tons. A metric ton is equal to 1.1023 short tons.</t>
  </si>
  <si>
    <t>Train and Movement Type</t>
  </si>
  <si>
    <t>Idling</t>
  </si>
  <si>
    <t>Freight Train</t>
  </si>
  <si>
    <t>Commuter Train</t>
  </si>
  <si>
    <t>Amtrak Long-Distance</t>
  </si>
  <si>
    <t>Amtrak State-Supported</t>
  </si>
  <si>
    <t>Hauling</t>
  </si>
  <si>
    <t>All Movements</t>
  </si>
  <si>
    <t>Freight Railcar</t>
  </si>
  <si>
    <t>Operating Costs</t>
  </si>
  <si>
    <t>1)  Includes fuel cost, depreciation, and labor cost which should be discounted at 3.1 percent.</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</si>
  <si>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</si>
  <si>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</si>
  <si>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</si>
  <si>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</si>
  <si>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</si>
  <si>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</si>
  <si>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</si>
  <si>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r>
      <t>No Build Non-CO</t>
    </r>
    <r>
      <rPr>
        <vertAlign val="subscript"/>
        <sz val="11"/>
        <color theme="0"/>
        <rFont val="Calibri"/>
        <family val="2"/>
        <scheme val="minor"/>
      </rPr>
      <t>2</t>
    </r>
    <r>
      <rPr>
        <sz val="11"/>
        <color theme="0"/>
        <rFont val="Calibri"/>
        <family val="2"/>
        <scheme val="minor"/>
      </rPr>
      <t xml:space="preserve"> Emission Costs ($)</t>
    </r>
  </si>
  <si>
    <r>
      <t>Build Non-CO</t>
    </r>
    <r>
      <rPr>
        <vertAlign val="subscript"/>
        <sz val="11"/>
        <color theme="0"/>
        <rFont val="Calibri"/>
        <family val="2"/>
        <scheme val="minor"/>
      </rPr>
      <t>2</t>
    </r>
    <r>
      <rPr>
        <sz val="11"/>
        <color theme="0"/>
        <rFont val="Calibri"/>
        <family val="2"/>
        <scheme val="minor"/>
      </rPr>
      <t xml:space="preserve"> Emission Costs ($)</t>
    </r>
  </si>
  <si>
    <r>
      <t>No Build CO</t>
    </r>
    <r>
      <rPr>
        <vertAlign val="subscript"/>
        <sz val="11"/>
        <color theme="0"/>
        <rFont val="Calibri"/>
        <family val="2"/>
        <scheme val="minor"/>
      </rPr>
      <t>2</t>
    </r>
    <r>
      <rPr>
        <sz val="11"/>
        <color theme="0"/>
        <rFont val="Calibri"/>
        <family val="2"/>
        <scheme val="minor"/>
      </rPr>
      <t xml:space="preserve"> Emission Costs ($)</t>
    </r>
  </si>
  <si>
    <r>
      <t>Build CO</t>
    </r>
    <r>
      <rPr>
        <vertAlign val="subscript"/>
        <sz val="11"/>
        <color theme="0"/>
        <rFont val="Calibri"/>
        <family val="2"/>
        <scheme val="minor"/>
      </rPr>
      <t>2</t>
    </r>
    <r>
      <rPr>
        <sz val="11"/>
        <color theme="0"/>
        <rFont val="Calibri"/>
        <family val="2"/>
        <scheme val="minor"/>
      </rPr>
      <t xml:space="preserve"> Emission Costs ($)</t>
    </r>
  </si>
  <si>
    <t>Table 2. Emissions</t>
  </si>
  <si>
    <r>
      <t>Non-CO</t>
    </r>
    <r>
      <rPr>
        <vertAlign val="subscript"/>
        <sz val="11"/>
        <color theme="1"/>
        <rFont val="Calibri"/>
        <family val="2"/>
        <scheme val="minor"/>
      </rPr>
      <t>2</t>
    </r>
    <r>
      <rPr>
        <sz val="11"/>
        <color theme="1"/>
        <rFont val="Calibri"/>
        <family val="2"/>
        <scheme val="minor"/>
      </rPr>
      <t xml:space="preserve"> Emissions</t>
    </r>
  </si>
  <si>
    <r>
      <t>CO</t>
    </r>
    <r>
      <rPr>
        <vertAlign val="subscript"/>
        <sz val="11"/>
        <color theme="1"/>
        <rFont val="Calibri"/>
        <family val="2"/>
        <scheme val="minor"/>
      </rPr>
      <t>2</t>
    </r>
    <r>
      <rPr>
        <sz val="11"/>
        <color theme="1"/>
        <rFont val="Calibri"/>
        <family val="2"/>
        <scheme val="minor"/>
      </rPr>
      <t xml:space="preserve"> Emissions</t>
    </r>
  </si>
  <si>
    <t>Table 1. Emission Costs per VMT and Train-Hour</t>
  </si>
  <si>
    <t>First Year of Project Development/Construction</t>
  </si>
  <si>
    <t>Table 2. Residual Value</t>
  </si>
  <si>
    <t>Table 1. Useful Life</t>
  </si>
  <si>
    <t>Project Component</t>
  </si>
  <si>
    <t>[Text Describing Project Component]</t>
  </si>
  <si>
    <t>Useful Life (Years)</t>
  </si>
  <si>
    <r>
      <t xml:space="preserve">• </t>
    </r>
    <r>
      <rPr>
        <b/>
        <sz val="11"/>
        <rFont val="Calibri"/>
        <family val="2"/>
        <scheme val="minor"/>
      </rPr>
      <t>Input, Optional, and No-Input cells.</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</si>
  <si>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</si>
  <si>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Source: USDOT BCA Guidance (Appendix A)</t>
  </si>
  <si>
    <t>This sheet provides a copy of parameter and monetization values from Appendix A of the USDOT BCA Guidance, and is provided for convenience.</t>
  </si>
  <si>
    <t>User Volumes</t>
  </si>
  <si>
    <t>Users can use whichever units are of interest to their application (for example: number of users, average annual daily traffic, person miles traveled, vehicle miles traveled).</t>
  </si>
  <si>
    <t>Whether amounts are entered in dollar form OR direct units of emissions, the template will automatically apply discounting to all costs and benefits for you.</t>
  </si>
  <si>
    <t xml:space="preserve">To calculate overall residual value for the entire project automatically, simply enter a useful life in the first row of Table 1 below. </t>
  </si>
  <si>
    <t>Total Residual Value</t>
  </si>
  <si>
    <t>Overall Project if One Component</t>
  </si>
  <si>
    <t>If there are multiple distinct components with unique useful lives, use multiple rows as needed and override the formula and names in the input cells of Table 1 below.</t>
  </si>
  <si>
    <t>&lt;-For project development costs prior to the model base year, enter into the "Capital Cost" tab in the cell for previously incurred costs</t>
  </si>
  <si>
    <t>For projects that involve capacity expansion or represent purely operational improvements, no residual value should be assumed.</t>
  </si>
  <si>
    <t>To remove the residual value, please enter "0" in the blue cell below in lieu of the automatic calculation</t>
  </si>
  <si>
    <t>Applicants should use this sheet for general operations and maintenance, as well as any recapitalization costs that will be needed for project components over the course of the analysis period.</t>
  </si>
  <si>
    <t>To avoid double-counting of benefits, applicants should not enter the same emission data as BOTH a dollar value and as units of emissions.</t>
  </si>
  <si>
    <t>Unique to this sheet, the template will automatically apply the correct monetization values for units of emissions.</t>
  </si>
  <si>
    <t>USDOT Benefit-Cost Analysis Spreadsheet Template</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</si>
  <si>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</si>
  <si>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</si>
  <si>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</si>
  <si>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</si>
  <si>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</si>
  <si>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</si>
  <si>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</si>
  <si>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</si>
  <si>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t>Model Date</t>
  </si>
  <si>
    <t>&lt;-See USDOT BCA Guidance for discussion of how to determine the appropriate operational period length</t>
  </si>
  <si>
    <t>This is an optional sheet to aid in displaying user volumes, note that it does not automatically link to any other sheet and is provided for convenience and organizational purposes.</t>
  </si>
  <si>
    <t>Annual Inflation Rate Used to Convert Constant Dollars to Year-of-Expenditure Dollars</t>
  </si>
  <si>
    <t>Other Highway Use Externalities</t>
  </si>
  <si>
    <t>Undiscounted Total</t>
  </si>
  <si>
    <t>Table A-1b: Value of Reduced Fatal, Injury, and PDO Crashes</t>
  </si>
  <si>
    <t>To manually calculate the residual value, please enter your estimated value in the blue italicized cell below in lieu of the automatic calculation</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</si>
  <si>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$27.10 per hour.</t>
  </si>
  <si>
    <t>3)  Note that business travel does not include commuting travel, which should be valued at the personal travel rate. Travel on high-speed rail service that would be competitive with air travel should be valued at $51.50 per hour for personal travel and $83.30 for business travel.</t>
  </si>
  <si>
    <t>Monetized Value (2023 $)</t>
  </si>
  <si>
    <t>(2023 $ per person-hour)</t>
  </si>
  <si>
    <t>Recommended Value per Mile (2023 $)</t>
  </si>
  <si>
    <t>Recommended Value per Hour (2023 $)</t>
  </si>
  <si>
    <t>Multiplier to Adjust to Real 2023 $</t>
  </si>
  <si>
    <r>
      <t>Recommended Value per Person-Mile Walked (2023 $)</t>
    </r>
    <r>
      <rPr>
        <vertAlign val="superscript"/>
        <sz val="11"/>
        <color theme="0"/>
        <rFont val="Times New Roman"/>
        <family val="1"/>
      </rPr>
      <t>1</t>
    </r>
  </si>
  <si>
    <r>
      <t>Recommended Value per Use (2023 $)</t>
    </r>
    <r>
      <rPr>
        <vertAlign val="superscript"/>
        <sz val="11"/>
        <color theme="0"/>
        <rFont val="Times New Roman"/>
        <family val="1"/>
      </rPr>
      <t>1</t>
    </r>
  </si>
  <si>
    <r>
      <t>Recommended Value per Cycling Mile (2023 $)</t>
    </r>
    <r>
      <rPr>
        <vertAlign val="superscript"/>
        <sz val="11"/>
        <color theme="0"/>
        <rFont val="Times New Roman"/>
        <family val="1"/>
      </rPr>
      <t>1</t>
    </r>
  </si>
  <si>
    <t>Recommended Value per User Trip (2023 $)</t>
  </si>
  <si>
    <r>
      <t>Boarding Quality Benefit (Per Boarding) (2023 $)</t>
    </r>
    <r>
      <rPr>
        <vertAlign val="superscript"/>
        <sz val="11"/>
        <color theme="0"/>
        <rFont val="Calibri"/>
        <family val="2"/>
        <scheme val="minor"/>
      </rPr>
      <t>1</t>
    </r>
  </si>
  <si>
    <r>
      <t>Vehicle Ride Quality Benefit (Per Passenger Hour) (2023 $)</t>
    </r>
    <r>
      <rPr>
        <vertAlign val="superscript"/>
        <sz val="11"/>
        <color theme="0"/>
        <rFont val="Calibri"/>
        <family val="2"/>
        <scheme val="minor"/>
      </rPr>
      <t>1</t>
    </r>
  </si>
  <si>
    <r>
      <t>Recommended Value per Induced Trip (2023 $)</t>
    </r>
    <r>
      <rPr>
        <vertAlign val="superscript"/>
        <sz val="11"/>
        <color theme="0"/>
        <rFont val="Calibri"/>
        <family val="2"/>
        <scheme val="minor"/>
      </rPr>
      <t>4</t>
    </r>
  </si>
  <si>
    <r>
      <t>Recommended Value of Cost per Vehicle Mile Traveled (2023 $)</t>
    </r>
    <r>
      <rPr>
        <vertAlign val="superscript"/>
        <sz val="11"/>
        <color theme="0"/>
        <rFont val="Times New Roman"/>
        <family val="1"/>
      </rPr>
      <t>1</t>
    </r>
  </si>
  <si>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2023 dollars using the GDP deflator.</t>
  </si>
  <si>
    <t>Previously Incurred Costs (in 2023$)</t>
  </si>
  <si>
    <t>Cost in Constant Dollars (2023 $)</t>
  </si>
  <si>
    <t xml:space="preserve">All values entered into input cells in this sheet should be entered as undiscounted 2023 dollar values. The template will automatically apply discounting to all costs and benefits for you. </t>
  </si>
  <si>
    <t>Hourly Value (2023 $)</t>
  </si>
  <si>
    <t xml:space="preserve">Unique to this sheet, applicants may either input monetized emissions in 2023 dollars OR enter the direct emission amounts in the table below, in which case they must be entered in the form of METRIC TONS. A metric ton is equal to 1.1023 short tons. </t>
  </si>
  <si>
    <t>Recommended Value per Induced Trip (2023 $)</t>
  </si>
  <si>
    <t>Capital Cost (2023 $)</t>
  </si>
  <si>
    <t>UMPI to Maple St</t>
  </si>
  <si>
    <t>Maple St to Chapman Rd</t>
  </si>
  <si>
    <t>Chapman Rd to Allen St</t>
  </si>
  <si>
    <t>Main St to 5 Fingers</t>
  </si>
  <si>
    <t>Dyer St</t>
  </si>
  <si>
    <t>Ryan &amp; Roberts St</t>
  </si>
  <si>
    <t>Riverside Dr S</t>
  </si>
  <si>
    <t>Riverside Drive N</t>
  </si>
  <si>
    <t>Main St N</t>
  </si>
  <si>
    <t>Multi-Use Path &amp; Ped Bridge</t>
  </si>
  <si>
    <t>Physical Details</t>
  </si>
  <si>
    <t>Construction to begin (year)</t>
  </si>
  <si>
    <t>Construction to be completed (year)</t>
  </si>
  <si>
    <t>Sidewalk width (ft)</t>
  </si>
  <si>
    <t>Multi-use path width (ft)</t>
  </si>
  <si>
    <t>N/A</t>
  </si>
  <si>
    <t>Number of crosswalks (count)</t>
  </si>
  <si>
    <t>Daily pedestrian volume - warm day (trip count)</t>
  </si>
  <si>
    <t>Daily cyclist volume - warm day (trip count)</t>
  </si>
  <si>
    <t>Daily pedestrian volume - cold day (trip count)</t>
  </si>
  <si>
    <t>Daily cyclist volume - cold day (trip count)</t>
  </si>
  <si>
    <t>Growth Rates</t>
  </si>
  <si>
    <t>Base Data</t>
  </si>
  <si>
    <t>Total expenditure ($USD)</t>
  </si>
  <si>
    <t>Used</t>
  </si>
  <si>
    <t>Daily vehicle volume - all days (trip count)</t>
  </si>
  <si>
    <t>Number of pedestrian signals (count)</t>
  </si>
  <si>
    <t>Trip count</t>
  </si>
  <si>
    <t>Value Per Mile: Cycling Path with At-Grade Crossings</t>
  </si>
  <si>
    <t>Value Per Mile: Expand Sidewalk (per foot of added width):</t>
  </si>
  <si>
    <t>Sidewalk Gain Benefit:</t>
  </si>
  <si>
    <t>Cycling Facility Improvement Benefit:</t>
  </si>
  <si>
    <t>Maximum pedestrian trip length per BCA Guidance (mi):</t>
  </si>
  <si>
    <t>New Crosswalks Gained:</t>
  </si>
  <si>
    <t>Pedestrian Signals Gained:</t>
  </si>
  <si>
    <t>Crosswalk Gain Benefit:</t>
  </si>
  <si>
    <t>Signal Gain Benefit:</t>
  </si>
  <si>
    <t>Pedestrian Enhancements:</t>
  </si>
  <si>
    <t>Cyclist Enhancements:</t>
  </si>
  <si>
    <t>Total Pedestrian Improvement Per Trip:</t>
  </si>
  <si>
    <t>Total Cyclist Improvement Per Trip:</t>
  </si>
  <si>
    <t>Road width (ft)</t>
  </si>
  <si>
    <t>Road length (mi)</t>
  </si>
  <si>
    <t>Road area (sq ft)</t>
  </si>
  <si>
    <t>Sidewalk area (sq ft)</t>
  </si>
  <si>
    <t>Multi-use path area (sq ft)</t>
  </si>
  <si>
    <t>Maximum cyclist trip length per BCA Guidance (mi):</t>
  </si>
  <si>
    <t>O</t>
  </si>
  <si>
    <t>C</t>
  </si>
  <si>
    <t>B</t>
  </si>
  <si>
    <t>A</t>
  </si>
  <si>
    <t>K</t>
  </si>
  <si>
    <t>U</t>
  </si>
  <si>
    <t>PDO</t>
  </si>
  <si>
    <t>Annual Occurrences</t>
  </si>
  <si>
    <t>x CMF</t>
  </si>
  <si>
    <t>No Build (Base)</t>
  </si>
  <si>
    <t>Build (Base)</t>
  </si>
  <si>
    <t>&lt;--Total actual and planned road area within project</t>
  </si>
  <si>
    <t>&lt;--Average actual and planned road width within project</t>
  </si>
  <si>
    <t>Sidewalk length (mi)</t>
  </si>
  <si>
    <t>&lt;--Total actual and planned number of crosswalks within project</t>
  </si>
  <si>
    <t>&lt;--Total actual and planned number of pedestrian signals within project</t>
  </si>
  <si>
    <t>&lt;--Total road length within project area</t>
  </si>
  <si>
    <t>&lt;--Maximum walking trip distance per BCA guidance (average walking trip within project area assumed to meet or exceed maximum value of 0.86)</t>
  </si>
  <si>
    <t>&lt;--Maximum cycling trip distance per BCA guidance (average cycling trip within project area assumed to meet or exceed maximum value of 2.38)</t>
  </si>
  <si>
    <t>Multi-use path length (mi)</t>
  </si>
  <si>
    <t>&lt;--Average actual and planned sidewalk width within project</t>
  </si>
  <si>
    <t>&lt;--Average actual and planned multi-use path width within project</t>
  </si>
  <si>
    <t>&lt;--Total actual and planned road length within project</t>
  </si>
  <si>
    <t>&lt;--Total actual and planned sidewalk length within project</t>
  </si>
  <si>
    <t>&lt;--Total actual and planned sidewalk area within project</t>
  </si>
  <si>
    <t>&lt;--Total actual and planned multi-use path length within project</t>
  </si>
  <si>
    <t>&lt;--Total actual and planned multi-use path area within project</t>
  </si>
  <si>
    <t>&lt;--Warm day volume reduced 50%. BCA assumes 182.5 warm days and 182.5 cold days per year</t>
  </si>
  <si>
    <t>&lt;--Proposed project budget</t>
  </si>
  <si>
    <t>&lt;--Project to be completed 3 years post-construction start</t>
  </si>
  <si>
    <t>&lt;--Project construction start of Oct. 2028, rounded to nearest whole year to fit within BCA template</t>
  </si>
  <si>
    <t>&lt;--Vehicle volume unaffected by project</t>
  </si>
  <si>
    <t>&lt;--Assumes one time growth in pedestrian foot traffic due to project opening</t>
  </si>
  <si>
    <t>&lt;--Assumes one time growth in cyclist traffic due to project opening</t>
  </si>
  <si>
    <t>&lt;--Estimated total 20-year population growth based on consensus U.S. average predictions</t>
  </si>
  <si>
    <t>&lt;--Estimated average warm day cyclist volume based on 2% of total Presque Isle population 2023</t>
  </si>
  <si>
    <t>2029 expenditure ($USD)</t>
  </si>
  <si>
    <t>2030 expenditure ($USD)</t>
  </si>
  <si>
    <t>2031 expenditure ($USD)</t>
  </si>
  <si>
    <t>20 year growth rate: vehicle volume (%)</t>
  </si>
  <si>
    <t>20 year growth rate: pedestrian volume (%)</t>
  </si>
  <si>
    <t>20 year growth rate: cyclist volume (%)</t>
  </si>
  <si>
    <t>Average Trip Length by Traffic Type</t>
  </si>
  <si>
    <t>Average trip length: vehicle (mi)</t>
  </si>
  <si>
    <t>Average trip length: pedestrian (mi)</t>
  </si>
  <si>
    <t>Average trip length: cyclist (mi)</t>
  </si>
  <si>
    <t>&lt;--Per BCA guidance</t>
  </si>
  <si>
    <t>&lt;--Actual</t>
  </si>
  <si>
    <t>&lt;--No change</t>
  </si>
  <si>
    <t>Actual historic average annual occurrences reduced 10% to account for bypass</t>
  </si>
  <si>
    <t>&lt;--Estimated average warm day pedestrian volume based on 20% of total Presque Isle population 2023</t>
  </si>
  <si>
    <t>&lt;--Per BCA Guidance</t>
  </si>
  <si>
    <t>&lt;--Historical volume of 16,310 with 10% reduction to account for bypass</t>
  </si>
  <si>
    <t>BCR:</t>
  </si>
  <si>
    <t>See Inputs tab for User Volume detail</t>
  </si>
  <si>
    <t>See Inputs tab for Budget detail</t>
  </si>
  <si>
    <t>Construction of pedestrian bridge will result in 0.7 mile trip length shortening for a portion of pedestrian and cyclist traffic</t>
  </si>
  <si>
    <t>% of Pedestrian traffic impacted:</t>
  </si>
  <si>
    <t>&lt;--Conservative estimate</t>
  </si>
  <si>
    <t>% of Cyclist traffic impacted:</t>
  </si>
  <si>
    <t>Distance shortened (mi):</t>
  </si>
  <si>
    <t>Pedestrian walking speed (mph):</t>
  </si>
  <si>
    <t>Cyclist speed (mph):</t>
  </si>
  <si>
    <t>No build travel time (hours) - impacted pedestrians:</t>
  </si>
  <si>
    <t>No build travel time (hours) - impacted cyclists:</t>
  </si>
  <si>
    <t>Build travel time (hours) - impacted pedestrians:</t>
  </si>
  <si>
    <t>Build travel time (hours) - impacted cyclists:</t>
  </si>
  <si>
    <t>No build trip value (2023 $) - impacted pedestrians:</t>
  </si>
  <si>
    <t>No build trip value (2023 $) - impacted cyclists:</t>
  </si>
  <si>
    <t>Build trip value (2023 $) - impacted pedestrians:</t>
  </si>
  <si>
    <t>Build trip value (2023 $) - impacted cyclists:</t>
  </si>
  <si>
    <t>Maintenance cost breakout available via separate file</t>
  </si>
  <si>
    <t>Sidewalk/multi-use path width gained (ft):</t>
  </si>
  <si>
    <t>&lt;--Average reduction to overall road width in project</t>
  </si>
  <si>
    <t>Value per trip:</t>
  </si>
  <si>
    <t>Incremental pedestrian and cyclist trips (Build - No Build) * BCA Recommended Values above</t>
  </si>
  <si>
    <t>Commentary:</t>
  </si>
  <si>
    <t>One-time change at project completion: vehicle volume (%)</t>
  </si>
  <si>
    <t>One-time change at project completion: pedestrian volume (%)</t>
  </si>
  <si>
    <t>One-time change at project completion: cyclist volume (%)</t>
  </si>
  <si>
    <t>Additional sidewalk &amp; multi-use path, crosswalks, and signals to enhance pedestrian and cyclist travel experience and drive increase in traffic volumes</t>
  </si>
  <si>
    <t>3.1% NPV Summary</t>
  </si>
  <si>
    <t>Costs</t>
  </si>
  <si>
    <t>Benefits</t>
  </si>
  <si>
    <t>Benefit-Cost Ratio</t>
  </si>
  <si>
    <t>Discounted</t>
  </si>
  <si>
    <t>Emission Reductions</t>
  </si>
  <si>
    <t>CMF</t>
  </si>
  <si>
    <t>CRF min (%)</t>
  </si>
  <si>
    <t>CRF max (%)</t>
  </si>
  <si>
    <t>CRF avg. (%)</t>
  </si>
  <si>
    <t>CRF Detail</t>
  </si>
  <si>
    <t>4123-4</t>
  </si>
  <si>
    <t>11158, 11168-9</t>
  </si>
  <si>
    <t>2841, 5553-4</t>
  </si>
  <si>
    <t>10269-70</t>
  </si>
  <si>
    <t>Upgrading traffic signals to adaptive signal control technology</t>
  </si>
  <si>
    <t>Converting four-lane roadways to three-lane roadways with center turn lane</t>
  </si>
  <si>
    <t>Enhanced crosswalks with three new RRFBs for pedestrians</t>
  </si>
  <si>
    <t>Improved crossing visibility and signaling at the US 1–State St., State St.–Riverside Dr., and 5-Fingers intersections</t>
  </si>
  <si>
    <t>Separation between vehicles and pedestrians/bicycles on US 1, State St., and Riverside Dr. with esplanade-buffered sidewalks and shared-use pathways</t>
  </si>
  <si>
    <t>0.60-0.81</t>
  </si>
  <si>
    <t>0.27-0.31</t>
  </si>
  <si>
    <t>0.53-0.81</t>
  </si>
  <si>
    <t>0.96-1.04</t>
  </si>
  <si>
    <t>CRF ID #</t>
  </si>
  <si>
    <t>&lt;--N/A</t>
  </si>
  <si>
    <t>&lt;--Pedestrian &amp; cyclist crashes expected to be fully eliminated by project. Detail in below table</t>
  </si>
  <si>
    <t>&lt;--25% of Proposed project budget</t>
  </si>
  <si>
    <t>&lt;--50% of Proposed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</si>
</sst>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 numFmtId="171" formatCode="0.0%"/>
  </numFmts>
  <fonts count="39"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vertAlign val="subscript"/>
      <sz val="11"/>
      <color theme="1"/>
      <name val="Calibri"/>
      <family val="2"/>
      <scheme val="minor"/>
    </font>
    <font>
      <u/>
      <sz val="11"/>
      <name val="Calibri"/>
      <family val="2"/>
      <scheme val="minor"/>
    </font>
    <font>
      <i/>
      <sz val="11"/>
      <name val="Calibri"/>
      <family val="2"/>
      <scheme val="minor"/>
    </font>
    <font>
      <b/>
      <sz val="11"/>
      <color theme="1"/>
      <name val="Calibri"/>
      <family val="2"/>
      <scheme val="minor"/>
    </font>
    <font>
      <sz val="11"/>
      <color rgb="FF0000FF"/>
      <name val="Calibri"/>
      <family val="2"/>
      <scheme val="minor"/>
    </font>
    <font>
      <sz val="9"/>
      <color indexed="81"/>
      <name val="Tahoma"/>
      <family val="2"/>
    </font>
    <font>
      <b/>
      <sz val="9"/>
      <color indexed="81"/>
      <name val="Tahoma"/>
      <family val="2"/>
    </font>
    <font>
      <b/>
      <sz val="20"/>
      <color theme="1"/>
      <name val="Calibri"/>
      <family val="2"/>
      <scheme val="minor"/>
    </font>
    <font>
      <sz val="11"/>
      <color rgb="FF00B050"/>
      <name val="Calibri"/>
      <family val="2"/>
      <scheme val="minor"/>
    </font>
    <font>
      <sz val="11"/>
      <color rgb="FF000000"/>
      <name val="Aptos"/>
      <family val="2"/>
    </font>
  </fonts>
  <fills count="19">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rgb="FF002060"/>
        <bgColor indexed="64"/>
      </patternFill>
    </fill>
    <fill>
      <patternFill patternType="solid">
        <fgColor rgb="FF548235"/>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thin">
        <color indexed="64"/>
      </left>
      <right/>
      <top/>
      <bottom style="medium">
        <color indexed="64"/>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right style="thin">
        <color theme="0"/>
      </right>
      <top/>
      <bottom/>
      <diagonal/>
    </border>
    <border>
      <left/>
      <right/>
      <top/>
      <bottom style="thin">
        <color theme="0" tint="-0.249977111117893"/>
      </bottom>
      <diagonal/>
    </border>
    <border>
      <left/>
      <right style="thin">
        <color theme="0"/>
      </right>
      <top/>
      <bottom style="thin">
        <color theme="0" tint="-0.249977111117893"/>
      </bottom>
      <diagonal/>
    </border>
    <border>
      <left style="dashDotDot">
        <color theme="0" tint="-0.249977111117893"/>
      </left>
      <right/>
      <top/>
      <bottom/>
      <diagonal/>
    </border>
    <border>
      <left/>
      <right style="dashDotDot">
        <color theme="0" tint="-0.249977111117893"/>
      </right>
      <top/>
      <bottom/>
      <diagonal/>
    </border>
    <border>
      <left style="dashDotDot">
        <color theme="0" tint="-0.249977111117893"/>
      </left>
      <right/>
      <top style="thin">
        <color indexed="64"/>
      </top>
      <bottom/>
      <diagonal/>
    </border>
    <border>
      <left/>
      <right style="dashDotDot">
        <color theme="0" tint="-0.249977111117893"/>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10">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2" applyNumberFormat="0" applyFont="0" applyAlignment="0" applyProtection="0"/>
    <xf numFmtId="43" fontId="11" fillId="0" borderId="0" applyFont="0" applyFill="0" applyBorder="0" applyAlignment="0" applyProtection="0"/>
  </cellStyleXfs>
  <cellXfs count="310">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9"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0" fillId="0" borderId="4"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0" fillId="7" borderId="23" xfId="0" applyFill="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vertical="center" wrapText="1"/>
    </xf>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6" fontId="2" fillId="0" borderId="2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3" xfId="0" applyFont="1" applyBorder="1"/>
    <xf numFmtId="0" fontId="2" fillId="0" borderId="10" xfId="0"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9"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30" xfId="0" applyFont="1" applyFill="1" applyBorder="1"/>
    <xf numFmtId="0" fontId="15" fillId="10" borderId="31"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9" fontId="9" fillId="2" borderId="1" xfId="0" applyNumberFormat="1" applyFont="1" applyFill="1" applyBorder="1"/>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6" fillId="12" borderId="23" xfId="0" applyFont="1" applyFill="1" applyBorder="1"/>
    <xf numFmtId="0" fontId="6" fillId="12" borderId="4" xfId="0" applyFont="1" applyFill="1" applyBorder="1"/>
    <xf numFmtId="0" fontId="6" fillId="12" borderId="6" xfId="0" applyFont="1" applyFill="1" applyBorder="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20" xfId="0" applyNumberFormat="1" applyFont="1" applyFill="1" applyBorder="1"/>
    <xf numFmtId="165" fontId="9" fillId="2" borderId="15" xfId="0" applyNumberFormat="1" applyFont="1" applyFill="1" applyBorder="1"/>
    <xf numFmtId="165" fontId="9" fillId="2" borderId="1"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2" xfId="8" applyFont="1"/>
    <xf numFmtId="0" fontId="0" fillId="13" borderId="32" xfId="8" applyFont="1" applyAlignment="1">
      <alignment vertical="top"/>
    </xf>
    <xf numFmtId="0" fontId="0" fillId="13" borderId="32" xfId="8" applyFont="1" applyAlignment="1"/>
    <xf numFmtId="0" fontId="0" fillId="13" borderId="32" xfId="8" applyFont="1" applyAlignment="1">
      <alignment wrapText="1"/>
    </xf>
    <xf numFmtId="0" fontId="9" fillId="2" borderId="1" xfId="0" applyFont="1" applyFill="1" applyBorder="1"/>
    <xf numFmtId="6" fontId="10" fillId="14" borderId="0" xfId="0" applyNumberFormat="1" applyFont="1" applyFill="1"/>
    <xf numFmtId="170" fontId="9" fillId="3" borderId="16" xfId="2" applyNumberFormat="1" applyFont="1" applyFill="1" applyBorder="1"/>
    <xf numFmtId="43" fontId="9" fillId="3" borderId="17" xfId="9"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6" fontId="9" fillId="2" borderId="20" xfId="0" applyNumberFormat="1" applyFont="1"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167" fontId="0" fillId="4" borderId="1" xfId="0" applyNumberFormat="1" applyFill="1" applyBorder="1" applyAlignment="1">
      <alignment horizontal="right" vertical="top" wrapText="1"/>
    </xf>
    <xf numFmtId="0" fontId="16" fillId="15" borderId="34" xfId="0" applyFont="1" applyFill="1" applyBorder="1" applyAlignment="1">
      <alignment horizontal="center"/>
    </xf>
    <xf numFmtId="0" fontId="16" fillId="15" borderId="0" xfId="0" applyFont="1" applyFill="1" applyAlignment="1">
      <alignment horizontal="center"/>
    </xf>
    <xf numFmtId="0" fontId="32" fillId="0" borderId="0" xfId="0" applyFont="1"/>
    <xf numFmtId="0" fontId="0" fillId="0" borderId="37" xfId="0" applyBorder="1"/>
    <xf numFmtId="0" fontId="0" fillId="0" borderId="0" xfId="0" applyAlignment="1">
      <alignment horizontal="left" indent="2"/>
    </xf>
    <xf numFmtId="0" fontId="0" fillId="0" borderId="37" xfId="0" applyBorder="1" applyAlignment="1">
      <alignment horizontal="center"/>
    </xf>
    <xf numFmtId="0" fontId="0" fillId="0" borderId="0" xfId="0" applyAlignment="1">
      <alignment horizontal="center"/>
    </xf>
    <xf numFmtId="3" fontId="0" fillId="0" borderId="37" xfId="0" applyNumberFormat="1" applyBorder="1" applyAlignment="1">
      <alignment horizontal="center"/>
    </xf>
    <xf numFmtId="3" fontId="0" fillId="0" borderId="0" xfId="0" applyNumberFormat="1" applyAlignment="1">
      <alignment horizontal="center"/>
    </xf>
    <xf numFmtId="3" fontId="0" fillId="0" borderId="0" xfId="0" applyNumberFormat="1"/>
    <xf numFmtId="0" fontId="32" fillId="0" borderId="0" xfId="0" applyFont="1" applyAlignment="1">
      <alignment horizontal="left"/>
    </xf>
    <xf numFmtId="165" fontId="0" fillId="0" borderId="37" xfId="0" applyNumberFormat="1" applyBorder="1" applyAlignment="1">
      <alignment horizontal="center"/>
    </xf>
    <xf numFmtId="165" fontId="0" fillId="0" borderId="0" xfId="0" applyNumberFormat="1" applyAlignment="1">
      <alignment horizontal="center"/>
    </xf>
    <xf numFmtId="0" fontId="16" fillId="0" borderId="0" xfId="0" applyFont="1" applyAlignment="1">
      <alignment horizontal="center"/>
    </xf>
    <xf numFmtId="171" fontId="33" fillId="0" borderId="0" xfId="0" applyNumberFormat="1" applyFont="1" applyAlignment="1">
      <alignment horizontal="center"/>
    </xf>
    <xf numFmtId="0" fontId="32" fillId="0" borderId="34" xfId="0" applyFont="1" applyBorder="1"/>
    <xf numFmtId="165" fontId="0" fillId="0" borderId="39" xfId="0" applyNumberFormat="1" applyBorder="1" applyAlignment="1">
      <alignment horizontal="center"/>
    </xf>
    <xf numFmtId="165" fontId="0" fillId="0" borderId="38" xfId="0" applyNumberFormat="1" applyBorder="1" applyAlignment="1">
      <alignment horizontal="center"/>
    </xf>
    <xf numFmtId="0" fontId="33" fillId="0" borderId="36" xfId="0" applyFont="1" applyBorder="1"/>
    <xf numFmtId="0" fontId="33" fillId="0" borderId="37" xfId="0" applyFont="1" applyBorder="1"/>
    <xf numFmtId="0" fontId="33" fillId="0" borderId="0" xfId="0" applyFont="1"/>
    <xf numFmtId="0" fontId="33" fillId="0" borderId="36" xfId="0" applyFont="1" applyBorder="1" applyAlignment="1">
      <alignment horizontal="center"/>
    </xf>
    <xf numFmtId="0" fontId="33" fillId="0" borderId="37" xfId="0" applyFont="1" applyBorder="1" applyAlignment="1">
      <alignment horizontal="center"/>
    </xf>
    <xf numFmtId="0" fontId="33" fillId="0" borderId="0" xfId="0" applyFont="1" applyAlignment="1">
      <alignment horizontal="center"/>
    </xf>
    <xf numFmtId="3" fontId="33" fillId="0" borderId="36" xfId="0" applyNumberFormat="1" applyFont="1" applyBorder="1" applyAlignment="1">
      <alignment horizontal="center"/>
    </xf>
    <xf numFmtId="3" fontId="33" fillId="0" borderId="37" xfId="0" applyNumberFormat="1" applyFont="1" applyBorder="1" applyAlignment="1">
      <alignment horizontal="center"/>
    </xf>
    <xf numFmtId="3" fontId="33" fillId="0" borderId="0" xfId="0" applyNumberFormat="1" applyFont="1" applyAlignment="1">
      <alignment horizontal="center"/>
    </xf>
    <xf numFmtId="0" fontId="33" fillId="0" borderId="0" xfId="0" applyFont="1" applyAlignment="1">
      <alignment horizontal="center" wrapText="1"/>
    </xf>
    <xf numFmtId="165" fontId="33" fillId="0" borderId="37" xfId="0" applyNumberFormat="1" applyFont="1" applyBorder="1" applyAlignment="1">
      <alignment horizontal="center"/>
    </xf>
    <xf numFmtId="0" fontId="19" fillId="0" borderId="38" xfId="0" applyFont="1" applyBorder="1" applyAlignment="1">
      <alignment horizontal="center"/>
    </xf>
    <xf numFmtId="165" fontId="19" fillId="0" borderId="39" xfId="0" applyNumberFormat="1" applyFont="1" applyBorder="1" applyAlignment="1">
      <alignment horizontal="center"/>
    </xf>
    <xf numFmtId="3" fontId="9" fillId="5" borderId="1" xfId="0" applyNumberFormat="1" applyFont="1" applyFill="1" applyBorder="1"/>
    <xf numFmtId="165" fontId="0" fillId="0" borderId="0" xfId="0" applyNumberFormat="1"/>
    <xf numFmtId="6" fontId="0" fillId="0" borderId="0" xfId="0" applyNumberFormat="1"/>
    <xf numFmtId="3" fontId="19" fillId="0" borderId="37" xfId="0" applyNumberFormat="1" applyFont="1" applyBorder="1" applyAlignment="1">
      <alignment horizontal="center"/>
    </xf>
    <xf numFmtId="164" fontId="0" fillId="0" borderId="0" xfId="0" applyNumberFormat="1"/>
    <xf numFmtId="2" fontId="0" fillId="0" borderId="0" xfId="0" applyNumberFormat="1"/>
    <xf numFmtId="0" fontId="10" fillId="4" borderId="0" xfId="0" applyFont="1" applyFill="1"/>
    <xf numFmtId="165" fontId="32" fillId="0" borderId="0" xfId="0" applyNumberFormat="1" applyFont="1"/>
    <xf numFmtId="6" fontId="32" fillId="0" borderId="0" xfId="0" applyNumberFormat="1" applyFont="1"/>
    <xf numFmtId="4" fontId="0" fillId="0" borderId="37" xfId="0" applyNumberFormat="1" applyBorder="1" applyAlignment="1">
      <alignment horizontal="center"/>
    </xf>
    <xf numFmtId="4" fontId="0" fillId="0" borderId="0" xfId="0" applyNumberFormat="1" applyAlignment="1">
      <alignment horizontal="center"/>
    </xf>
    <xf numFmtId="2" fontId="33" fillId="0" borderId="36" xfId="0" applyNumberFormat="1" applyFont="1" applyBorder="1" applyAlignment="1">
      <alignment horizontal="center"/>
    </xf>
    <xf numFmtId="2" fontId="33" fillId="0" borderId="37" xfId="0" applyNumberFormat="1" applyFont="1" applyBorder="1" applyAlignment="1">
      <alignment horizontal="center"/>
    </xf>
    <xf numFmtId="2" fontId="33" fillId="0" borderId="0" xfId="0" applyNumberFormat="1" applyFont="1" applyAlignment="1">
      <alignment horizontal="center"/>
    </xf>
    <xf numFmtId="2" fontId="19" fillId="0" borderId="0" xfId="0" applyNumberFormat="1" applyFont="1" applyAlignment="1">
      <alignment horizontal="center"/>
    </xf>
    <xf numFmtId="2" fontId="0" fillId="0" borderId="0" xfId="0" applyNumberFormat="1" applyAlignment="1">
      <alignment horizontal="centerContinuous"/>
    </xf>
    <xf numFmtId="0" fontId="0" fillId="0" borderId="0" xfId="0" applyAlignment="1">
      <alignment horizontal="centerContinuous"/>
    </xf>
    <xf numFmtId="4" fontId="33" fillId="0" borderId="36" xfId="0" applyNumberFormat="1" applyFont="1" applyBorder="1" applyAlignment="1">
      <alignment horizontal="center"/>
    </xf>
    <xf numFmtId="0" fontId="32" fillId="0" borderId="13" xfId="0" applyFont="1" applyBorder="1"/>
    <xf numFmtId="164" fontId="0" fillId="0" borderId="13" xfId="0" applyNumberFormat="1" applyBorder="1"/>
    <xf numFmtId="0" fontId="32" fillId="0" borderId="14" xfId="0" applyFont="1" applyBorder="1"/>
    <xf numFmtId="0" fontId="0" fillId="0" borderId="14" xfId="0" applyBorder="1"/>
    <xf numFmtId="4" fontId="33" fillId="0" borderId="37" xfId="0" applyNumberFormat="1" applyFont="1" applyBorder="1" applyAlignment="1">
      <alignment horizontal="center"/>
    </xf>
    <xf numFmtId="4" fontId="33" fillId="0" borderId="0" xfId="0" applyNumberFormat="1" applyFont="1" applyAlignment="1">
      <alignment horizontal="center"/>
    </xf>
    <xf numFmtId="6" fontId="0" fillId="0" borderId="13" xfId="0" applyNumberFormat="1" applyBorder="1"/>
    <xf numFmtId="10" fontId="33" fillId="0" borderId="0" xfId="0" applyNumberFormat="1" applyFont="1"/>
    <xf numFmtId="3" fontId="36" fillId="0" borderId="15" xfId="0" applyNumberFormat="1" applyFont="1" applyBorder="1" applyAlignment="1">
      <alignment horizontal="center"/>
    </xf>
    <xf numFmtId="4" fontId="36" fillId="0" borderId="17" xfId="0" applyNumberFormat="1" applyFont="1" applyBorder="1" applyAlignment="1">
      <alignment horizontal="center"/>
    </xf>
    <xf numFmtId="171" fontId="33" fillId="0" borderId="37" xfId="0" applyNumberFormat="1" applyFont="1" applyBorder="1" applyAlignment="1">
      <alignment horizontal="center"/>
    </xf>
    <xf numFmtId="2" fontId="0" fillId="0" borderId="37" xfId="0" applyNumberFormat="1" applyBorder="1" applyAlignment="1">
      <alignment horizontal="center"/>
    </xf>
    <xf numFmtId="0" fontId="16" fillId="16" borderId="0" xfId="0" applyFont="1" applyFill="1" applyAlignment="1">
      <alignment horizontal="center"/>
    </xf>
    <xf numFmtId="0" fontId="16" fillId="16" borderId="35" xfId="0" applyFont="1" applyFill="1" applyBorder="1" applyAlignment="1">
      <alignment horizontal="center"/>
    </xf>
    <xf numFmtId="0" fontId="15" fillId="11" borderId="0" xfId="0" applyFont="1" applyFill="1" applyAlignment="1">
      <alignment horizontal="centerContinuous"/>
    </xf>
    <xf numFmtId="0" fontId="15" fillId="11" borderId="33" xfId="0" applyFont="1" applyFill="1" applyBorder="1" applyAlignment="1">
      <alignment horizontal="centerContinuous"/>
    </xf>
    <xf numFmtId="0" fontId="19" fillId="0" borderId="0" xfId="0" applyFont="1" applyAlignment="1">
      <alignment horizontal="center"/>
    </xf>
    <xf numFmtId="165" fontId="19" fillId="0" borderId="0" xfId="0" applyNumberFormat="1" applyFont="1" applyAlignment="1">
      <alignment horizontal="center"/>
    </xf>
    <xf numFmtId="0" fontId="32" fillId="17" borderId="0" xfId="0" applyFont="1" applyFill="1"/>
    <xf numFmtId="0" fontId="0" fillId="17" borderId="0" xfId="0" applyFill="1"/>
    <xf numFmtId="0" fontId="1" fillId="17" borderId="0" xfId="1" applyFill="1"/>
    <xf numFmtId="0" fontId="32" fillId="3" borderId="40" xfId="0" applyFont="1" applyFill="1" applyBorder="1" applyAlignment="1">
      <alignment horizontal="centerContinuous"/>
    </xf>
    <xf numFmtId="0" fontId="0" fillId="3" borderId="41" xfId="0" applyFill="1" applyBorder="1" applyAlignment="1">
      <alignment horizontal="centerContinuous"/>
    </xf>
    <xf numFmtId="0" fontId="0" fillId="3" borderId="42" xfId="0" applyFill="1" applyBorder="1" applyAlignment="1">
      <alignment horizontal="centerContinuous"/>
    </xf>
    <xf numFmtId="0" fontId="32" fillId="3" borderId="43" xfId="0" applyFont="1" applyFill="1" applyBorder="1" applyAlignment="1">
      <alignment horizontal="centerContinuous"/>
    </xf>
    <xf numFmtId="0" fontId="32" fillId="3" borderId="44" xfId="0" applyFont="1" applyFill="1" applyBorder="1" applyAlignment="1">
      <alignment horizontal="centerContinuous"/>
    </xf>
    <xf numFmtId="0" fontId="32" fillId="3" borderId="21" xfId="0" applyFont="1" applyFill="1" applyBorder="1"/>
    <xf numFmtId="0" fontId="0" fillId="4" borderId="4" xfId="0" applyFill="1" applyBorder="1"/>
    <xf numFmtId="0" fontId="32" fillId="3" borderId="1" xfId="0" applyFont="1" applyFill="1" applyBorder="1"/>
    <xf numFmtId="6" fontId="37" fillId="4" borderId="17" xfId="0" applyNumberFormat="1" applyFont="1" applyFill="1" applyBorder="1"/>
    <xf numFmtId="10" fontId="0" fillId="4" borderId="0" xfId="0" applyNumberFormat="1" applyFill="1"/>
    <xf numFmtId="0" fontId="32" fillId="3" borderId="22" xfId="0" applyFont="1" applyFill="1" applyBorder="1"/>
    <xf numFmtId="0" fontId="0" fillId="4" borderId="22" xfId="0" applyFill="1" applyBorder="1"/>
    <xf numFmtId="6" fontId="37" fillId="4" borderId="6" xfId="0" applyNumberFormat="1" applyFont="1" applyFill="1" applyBorder="1"/>
    <xf numFmtId="0" fontId="32" fillId="3" borderId="45" xfId="0" applyFont="1" applyFill="1" applyBorder="1"/>
    <xf numFmtId="0" fontId="32" fillId="18" borderId="22" xfId="0" applyFont="1" applyFill="1" applyBorder="1"/>
    <xf numFmtId="2" fontId="32" fillId="18" borderId="14" xfId="0" applyNumberFormat="1" applyFont="1" applyFill="1" applyBorder="1" applyAlignment="1">
      <alignment horizontal="centerContinuous"/>
    </xf>
    <xf numFmtId="0" fontId="0" fillId="18" borderId="6" xfId="0" applyFill="1" applyBorder="1" applyAlignment="1">
      <alignment horizontal="centerContinuous"/>
    </xf>
    <xf numFmtId="6" fontId="0" fillId="4" borderId="4" xfId="0" applyNumberFormat="1" applyFill="1" applyBorder="1"/>
    <xf numFmtId="5" fontId="32" fillId="3" borderId="22" xfId="0" applyNumberFormat="1" applyFont="1" applyFill="1" applyBorder="1"/>
    <xf numFmtId="0" fontId="32" fillId="18" borderId="1" xfId="0" applyFont="1" applyFill="1" applyBorder="1"/>
    <xf numFmtId="165" fontId="32" fillId="18" borderId="16" xfId="0" applyNumberFormat="1" applyFont="1" applyFill="1" applyBorder="1" applyAlignment="1">
      <alignment horizontal="centerContinuous"/>
    </xf>
    <xf numFmtId="2" fontId="32" fillId="18" borderId="16" xfId="0" applyNumberFormat="1" applyFont="1" applyFill="1" applyBorder="1" applyAlignment="1">
      <alignment horizontal="centerContinuous"/>
    </xf>
    <xf numFmtId="0" fontId="0" fillId="18" borderId="17" xfId="0" applyFill="1" applyBorder="1" applyAlignment="1">
      <alignment horizontal="centerContinuous"/>
    </xf>
    <xf numFmtId="0" fontId="38" fillId="0" borderId="0" xfId="0" applyFont="1" applyAlignment="1">
      <alignment horizontal="left" vertical="center" indent="1"/>
    </xf>
    <xf numFmtId="171" fontId="0" fillId="0" borderId="0" xfId="0" applyNumberFormat="1"/>
    <xf numFmtId="49" fontId="0" fillId="0" borderId="0" xfId="0" applyNumberFormat="1" applyAlignment="1">
      <alignment horizontal="right"/>
    </xf>
    <xf numFmtId="171" fontId="0" fillId="0" borderId="0" xfId="0" applyNumberFormat="1" applyAlignment="1">
      <alignment horizontal="right"/>
    </xf>
    <xf numFmtId="0" fontId="38" fillId="0" borderId="0" xfId="0" applyFont="1" applyAlignment="1">
      <alignment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3" fillId="9" borderId="1" xfId="0" applyFont="1" applyFill="1" applyBorder="1" applyAlignment="1">
      <alignment horizontal="center" vertical="center" wrapText="1"/>
    </xf>
    <xf numFmtId="0" fontId="23" fillId="9" borderId="1" xfId="0" applyFont="1" applyFill="1" applyBorder="1" applyAlignment="1">
      <alignment vertical="center"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3" fillId="9" borderId="15"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2" fillId="9" borderId="1" xfId="0" applyFont="1" applyFill="1" applyBorder="1" applyAlignment="1">
      <alignment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15" fillId="7" borderId="16" xfId="0" applyFont="1" applyFill="1" applyBorder="1" applyAlignment="1">
      <alignment horizontal="center"/>
    </xf>
    <xf numFmtId="0" fontId="15" fillId="7" borderId="17" xfId="0" applyFont="1" applyFill="1" applyBorder="1" applyAlignment="1">
      <alignment horizontal="center"/>
    </xf>
    <xf numFmtId="0" fontId="15" fillId="7" borderId="15" xfId="0" applyFont="1" applyFill="1" applyBorder="1" applyAlignment="1">
      <alignment horizontal="center"/>
    </xf>
  </cellXfs>
  <cellStyles count="10">
    <cellStyle name="Comma" xfId="9" builtinId="3"/>
    <cellStyle name="Currency" xfId="2" builtinId="4"/>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7" xfId="6" xr:uid="{39C09B7B-9AFF-4A61-96F1-6C02C073A05F}"/>
    <cellStyle name="Note" xfId="8" builtinId="10"/>
  </cellStyles>
  <dxfs count="24">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u val="none"/>
      </font>
      <fill>
        <patternFill>
          <bgColor theme="4" tint="0.39994506668294322"/>
        </patternFill>
      </fill>
    </dxf>
    <dxf>
      <font>
        <b val="0"/>
        <i val="0"/>
        <u val="none"/>
      </font>
      <fill>
        <patternFill>
          <bgColor theme="0" tint="-0.24994659260841701"/>
        </patternFill>
      </fill>
    </dxf>
    <dxf>
      <font>
        <b val="0"/>
        <i/>
      </font>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548235"/>
      <color rgb="FF0000FF"/>
      <color rgb="FFA9D08E"/>
      <color rgb="FFFFFFCC"/>
      <color rgb="FFBFBF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dirving.sharepoint.com/sites/NBMR-Engineering/Shared%20Documents/NTCF/Scope/2021%20Quote%20Sheet-%20WORKING_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dirving.sharepoint.com/A155580/MyData/Quote%20to%20Presentation%20Macr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cbkierst/Local%20Settings/Temporary%20Internet%20Files/Content.Outlook/26EM6KJV/Quotes%20%20Sheet%20Based%20on%20Steve%20W%20model%20fro%20100%20TF%2002.26.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SXGA/SafeSync/Grants/Completed%20Grants/2021%20RAISE%20MDOT%20Frenchville/Frenchville%20US1/BCA/HSM%20Frenchville%20-%20Ft%20Kent%20Rural%20Segment%20Proposed%20Safety%20Improve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Generator"/>
      <sheetName val="Proposal"/>
      <sheetName val="Pricing Index"/>
      <sheetName val="Sheet1"/>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ting"/>
      <sheetName val="Summary as Quote"/>
      <sheetName val="Sheet1"/>
      <sheetName val="NBSR COST"/>
      <sheetName val="Equipment &amp; Labour Pricing"/>
      <sheetName val="Turnout Pricing Cost #8"/>
      <sheetName val="Turnout Pricing Cost #10"/>
      <sheetName val="Pricing"/>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NBSR COST"/>
      <sheetName val="Sheet2"/>
      <sheetName val="Pricing"/>
      <sheetName val="Sheet3"/>
    </sheetNames>
    <sheetDataSet>
      <sheetData sheetId="0"/>
      <sheetData sheetId="1"/>
      <sheetData sheetId="2">
        <row r="43">
          <cell r="A43" t="str">
            <v>75 Ton Crane</v>
          </cell>
        </row>
        <row r="44">
          <cell r="A44" t="str">
            <v>Little Giant Crane</v>
          </cell>
        </row>
        <row r="45">
          <cell r="A45" t="str">
            <v>Loader</v>
          </cell>
        </row>
        <row r="46">
          <cell r="A46" t="str">
            <v>Backhoe</v>
          </cell>
        </row>
        <row r="47">
          <cell r="A47" t="str">
            <v>Ballast Regulator</v>
          </cell>
        </row>
        <row r="48">
          <cell r="A48" t="str">
            <v>Blower</v>
          </cell>
        </row>
        <row r="49">
          <cell r="A49" t="str">
            <v>5 Ton</v>
          </cell>
        </row>
        <row r="50">
          <cell r="A50" t="str">
            <v>Buttpicker</v>
          </cell>
        </row>
        <row r="51">
          <cell r="A51" t="str">
            <v>Crew Cab</v>
          </cell>
        </row>
        <row r="52">
          <cell r="A52" t="str">
            <v>Fuel Surcharge</v>
          </cell>
        </row>
        <row r="53">
          <cell r="A53" t="str">
            <v>Ice &amp; Asphalt Cutter</v>
          </cell>
        </row>
        <row r="54">
          <cell r="A54" t="str">
            <v>Jackson Tamper</v>
          </cell>
        </row>
        <row r="55">
          <cell r="A55" t="str">
            <v>Petti-boom</v>
          </cell>
        </row>
        <row r="56">
          <cell r="A56" t="str">
            <v>Power Pack</v>
          </cell>
        </row>
        <row r="57">
          <cell r="A57" t="str">
            <v>Pressure Washer</v>
          </cell>
        </row>
        <row r="58">
          <cell r="A58" t="str">
            <v>Rail Lifter</v>
          </cell>
        </row>
        <row r="59">
          <cell r="A59" t="str">
            <v>Saw/Drill</v>
          </cell>
        </row>
        <row r="60">
          <cell r="A60" t="str">
            <v>Spike Puller</v>
          </cell>
        </row>
        <row r="61">
          <cell r="A61" t="str">
            <v>Spiker</v>
          </cell>
        </row>
        <row r="62">
          <cell r="A62" t="str">
            <v>Tamper</v>
          </cell>
        </row>
        <row r="63">
          <cell r="A63" t="str">
            <v>Tamper &amp; Regulator</v>
          </cell>
        </row>
        <row r="64">
          <cell r="A64" t="str">
            <v>Tie Inserter</v>
          </cell>
        </row>
        <row r="65">
          <cell r="A65" t="str">
            <v>Torches</v>
          </cell>
        </row>
        <row r="66">
          <cell r="A66" t="str">
            <v>Welding Truck</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gment 1"/>
      <sheetName val="Rural 2-Lane Site Total"/>
      <sheetName val="PW Costs"/>
      <sheetName val="10 Year PW Costs"/>
      <sheetName val="Final Safety Benefit"/>
      <sheetName val="Segment Table Costs"/>
      <sheetName val="Rural 2-Lane Project Total"/>
      <sheetName val="Segment Tables"/>
      <sheetName val="Construction - Do Not Delete"/>
    </sheetNames>
    <sheetDataSet>
      <sheetData sheetId="0"/>
      <sheetData sheetId="1"/>
      <sheetData sheetId="2"/>
      <sheetData sheetId="3"/>
      <sheetData sheetId="4"/>
      <sheetData sheetId="5"/>
      <sheetData sheetId="6"/>
      <sheetData sheetId="7"/>
      <sheetData sheetId="8"/>
      <sheetData sheetId="9">
        <row r="29">
          <cell r="D29" t="str">
            <v>3ST</v>
          </cell>
        </row>
        <row r="30">
          <cell r="D30" t="str">
            <v>4ST</v>
          </cell>
        </row>
        <row r="31">
          <cell r="D31" t="str">
            <v>4SG</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d5x8rk04.na1.hs-sales-engage.com/Ctc/UE+23284/d5x8Rk04/Jl22-6qcW7lCdLW6lZ3n8W5htXx_41vLD4W6xL_dd5-MQYdW5fJlNt6s_9ltW3cGdrn5tlJ2fW7bc-XV7FYwmjW6t7CHn1kqGd2W9k3Z2F5GmD1yW7DHGXX9c00rMW5_WhJm4D3tGYW51gbrd2sW5WlW5tV4_d4PV_QCW6zy-S87XNzr8VmdlkZ70D0XZVZ0fNC218P6bW5mVdrk4qZfZpW1QVtks7wldGFW44nk9H7rW_WvN2zLttK_Hl2jW39N6-P1YVNtHW6x-l2Z3LNP39N1sMJWkf3bfjN1nHXLt3YfPfW6_HsrH6ZhdjkW7_W9sT58xrD8f7tZ2sW04"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tabSelected="1" zoomScale="130" zoomScaleNormal="130" workbookViewId="0"/>
  </sheetViews>
  <sheetFormatPr defaultColWidth="9.1796875" defaultRowHeight="14.5" x14ac:dyDescent="0.35"/>
  <cols>
    <col min="1" max="1" width="72.81640625" style="5" customWidth="1"/>
    <col min="2" max="2" width="11.26953125" style="5" bestFit="1" customWidth="1"/>
    <col min="3" max="16384" width="9.1796875" style="5"/>
  </cols>
  <sheetData>
    <row r="1" spans="1:1" ht="20" thickBot="1" x14ac:dyDescent="0.5">
      <c r="A1" s="45" t="s">
        <v>322</v>
      </c>
    </row>
    <row r="2" spans="1:1" ht="15" thickTop="1" x14ac:dyDescent="0.35">
      <c r="A2" s="46" t="s">
        <v>200</v>
      </c>
    </row>
    <row r="3" spans="1:1" ht="17.5" thickBot="1" x14ac:dyDescent="0.45">
      <c r="A3" s="48" t="s">
        <v>323</v>
      </c>
    </row>
    <row r="4" spans="1:1" ht="76" customHeight="1" thickTop="1" x14ac:dyDescent="0.35">
      <c r="A4" s="50" t="s">
        <v>324</v>
      </c>
    </row>
    <row r="5" spans="1:1" x14ac:dyDescent="0.35">
      <c r="A5" s="46" t="s">
        <v>201</v>
      </c>
    </row>
    <row r="6" spans="1:1" ht="17.5" thickBot="1" x14ac:dyDescent="0.45">
      <c r="A6" s="47" t="s">
        <v>202</v>
      </c>
    </row>
    <row r="7" spans="1:1" ht="15" thickTop="1" x14ac:dyDescent="0.35">
      <c r="A7" s="52" t="s">
        <v>325</v>
      </c>
    </row>
    <row r="8" spans="1:1" x14ac:dyDescent="0.35">
      <c r="A8" s="52" t="s">
        <v>326</v>
      </c>
    </row>
    <row r="9" spans="1:1" ht="29" x14ac:dyDescent="0.35">
      <c r="A9" s="51" t="s">
        <v>327</v>
      </c>
    </row>
    <row r="10" spans="1:1" x14ac:dyDescent="0.35">
      <c r="A10" s="53" t="str">
        <f>HYPERLINK("https://www.transportation.gov/mission/office-secretary/office-policy/transportation-policy/benefit-cost-analysis-guidance", "See USDOT BCA Guidance for full details.")</f>
        <v>See USDOT BCA Guidance for full details.</v>
      </c>
    </row>
    <row r="11" spans="1:1" x14ac:dyDescent="0.35">
      <c r="A11" s="46" t="s">
        <v>200</v>
      </c>
    </row>
    <row r="12" spans="1:1" ht="17.5" thickBot="1" x14ac:dyDescent="0.45">
      <c r="A12" s="47" t="s">
        <v>203</v>
      </c>
    </row>
    <row r="13" spans="1:1" ht="15" thickTop="1" x14ac:dyDescent="0.35">
      <c r="A13" s="54" t="s">
        <v>305</v>
      </c>
    </row>
    <row r="14" spans="1:1" ht="29" x14ac:dyDescent="0.35">
      <c r="A14" s="166" t="s">
        <v>328</v>
      </c>
    </row>
    <row r="15" spans="1:1" ht="29" x14ac:dyDescent="0.35">
      <c r="A15" s="167" t="s">
        <v>329</v>
      </c>
    </row>
    <row r="16" spans="1:1" ht="29" x14ac:dyDescent="0.35">
      <c r="A16" s="169" t="s">
        <v>330</v>
      </c>
    </row>
    <row r="17" spans="1:2" ht="43.5" x14ac:dyDescent="0.35">
      <c r="A17" s="49" t="s">
        <v>264</v>
      </c>
    </row>
    <row r="18" spans="1:2" x14ac:dyDescent="0.35">
      <c r="A18" s="49" t="s">
        <v>257</v>
      </c>
    </row>
    <row r="19" spans="1:2" ht="43.5" x14ac:dyDescent="0.35">
      <c r="A19" s="55" t="s">
        <v>306</v>
      </c>
    </row>
    <row r="22" spans="1:2" x14ac:dyDescent="0.35">
      <c r="A22" s="6" t="s">
        <v>160</v>
      </c>
      <c r="B22" s="174">
        <v>2023</v>
      </c>
    </row>
    <row r="23" spans="1:2" x14ac:dyDescent="0.35">
      <c r="A23" s="2" t="s">
        <v>331</v>
      </c>
      <c r="B23" s="175">
        <v>45677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workbookViewId="0"/>
  </sheetViews>
  <sheetFormatPr defaultColWidth="9.1796875" defaultRowHeight="14.5" x14ac:dyDescent="0.35"/>
  <cols>
    <col min="1" max="1" width="28.54296875" style="5" customWidth="1"/>
    <col min="2" max="2" width="27.453125" style="5" customWidth="1"/>
    <col min="3" max="3" width="28.81640625" style="5" customWidth="1"/>
    <col min="4" max="4" width="30.81640625" style="5" customWidth="1"/>
    <col min="5" max="7" width="9.1796875" style="5"/>
    <col min="8" max="8" width="48.6328125" style="5" customWidth="1"/>
    <col min="9" max="9" width="10.1796875" style="5" bestFit="1" customWidth="1"/>
    <col min="10" max="10" width="22.453125" style="5" bestFit="1" customWidth="1"/>
    <col min="11" max="16384" width="9.1796875" style="5"/>
  </cols>
  <sheetData>
    <row r="1" spans="1:10" ht="20" thickBot="1" x14ac:dyDescent="0.5">
      <c r="A1" s="96" t="s">
        <v>9</v>
      </c>
    </row>
    <row r="2" spans="1:10" ht="15" thickTop="1" x14ac:dyDescent="0.35">
      <c r="A2" s="152" t="s">
        <v>245</v>
      </c>
      <c r="B2" s="152"/>
      <c r="C2" s="152"/>
      <c r="D2" s="152"/>
      <c r="E2" s="152"/>
      <c r="F2" s="152"/>
      <c r="G2" s="152"/>
    </row>
    <row r="3" spans="1:10" x14ac:dyDescent="0.35">
      <c r="A3" s="5" t="s">
        <v>205</v>
      </c>
    </row>
    <row r="4" spans="1:10" x14ac:dyDescent="0.35">
      <c r="A4" s="153" t="s">
        <v>357</v>
      </c>
      <c r="B4" s="152"/>
      <c r="C4" s="152"/>
      <c r="D4" s="152"/>
      <c r="E4" s="152"/>
      <c r="F4" s="152"/>
      <c r="G4" s="152"/>
      <c r="H4" s="152"/>
      <c r="I4" s="152"/>
      <c r="J4" s="152"/>
    </row>
    <row r="5" spans="1:10" x14ac:dyDescent="0.35">
      <c r="A5" s="38" t="s">
        <v>205</v>
      </c>
    </row>
    <row r="6" spans="1:10" x14ac:dyDescent="0.35">
      <c r="A6" s="97" t="s">
        <v>246</v>
      </c>
    </row>
    <row r="7" spans="1:10" x14ac:dyDescent="0.35">
      <c r="A7" s="116" t="s">
        <v>33</v>
      </c>
      <c r="B7" s="116" t="s">
        <v>358</v>
      </c>
    </row>
    <row r="8" spans="1:10" x14ac:dyDescent="0.35">
      <c r="A8" s="35" t="s">
        <v>186</v>
      </c>
      <c r="B8" s="39">
        <f>'Parameter Values'!B24</f>
        <v>19.399999999999999</v>
      </c>
    </row>
    <row r="9" spans="1:10" x14ac:dyDescent="0.35">
      <c r="A9" s="35" t="s">
        <v>182</v>
      </c>
      <c r="B9" s="39">
        <f>'Parameter Values'!B25</f>
        <v>33.5</v>
      </c>
    </row>
    <row r="10" spans="1:10" x14ac:dyDescent="0.35">
      <c r="A10" s="35" t="s">
        <v>183</v>
      </c>
      <c r="B10" s="39">
        <f>'Parameter Values'!B26</f>
        <v>21.1</v>
      </c>
    </row>
    <row r="11" spans="1:10" ht="29" x14ac:dyDescent="0.35">
      <c r="A11" s="35" t="s">
        <v>184</v>
      </c>
      <c r="B11" s="39">
        <f>'Parameter Values'!B28</f>
        <v>38.799999999999997</v>
      </c>
    </row>
    <row r="12" spans="1:10" x14ac:dyDescent="0.35">
      <c r="A12" s="35" t="s">
        <v>185</v>
      </c>
      <c r="B12" s="39"/>
    </row>
    <row r="13" spans="1:10" x14ac:dyDescent="0.35">
      <c r="A13" s="35" t="s">
        <v>36</v>
      </c>
      <c r="B13" s="39">
        <f>'Parameter Values'!B31</f>
        <v>35.700000000000003</v>
      </c>
    </row>
    <row r="14" spans="1:10" x14ac:dyDescent="0.35">
      <c r="A14" s="35" t="s">
        <v>37</v>
      </c>
      <c r="B14" s="39">
        <f>'Parameter Values'!B32</f>
        <v>42.6</v>
      </c>
    </row>
    <row r="15" spans="1:10" x14ac:dyDescent="0.35">
      <c r="A15" s="35" t="s">
        <v>38</v>
      </c>
      <c r="B15" s="39">
        <f>'Parameter Values'!B33</f>
        <v>59.6</v>
      </c>
    </row>
    <row r="16" spans="1:10" x14ac:dyDescent="0.35">
      <c r="A16" s="35" t="s">
        <v>39</v>
      </c>
      <c r="B16" s="39">
        <f>'Parameter Values'!B34</f>
        <v>52.9</v>
      </c>
    </row>
    <row r="17" spans="1:54" x14ac:dyDescent="0.35">
      <c r="A17" s="38" t="s">
        <v>205</v>
      </c>
    </row>
    <row r="18" spans="1:54" ht="15" thickBot="1" x14ac:dyDescent="0.4">
      <c r="A18" s="97" t="s">
        <v>248</v>
      </c>
    </row>
    <row r="19" spans="1:54" x14ac:dyDescent="0.35">
      <c r="A19" s="107" t="s">
        <v>4</v>
      </c>
      <c r="B19" s="108" t="s">
        <v>175</v>
      </c>
      <c r="C19" s="108" t="s">
        <v>176</v>
      </c>
      <c r="D19" s="114" t="s">
        <v>169</v>
      </c>
      <c r="G19" s="10" t="s">
        <v>161</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1:54" x14ac:dyDescent="0.35">
      <c r="A20" s="6">
        <f>'Project Information'!$B$9</f>
        <v>2032</v>
      </c>
      <c r="B20" s="22">
        <f>(('User Volumes'!F10*'Travel Time Savings'!$I$23)*'Travel Time Savings'!$I$34)+(('User Volumes'!H10*'Travel Time Savings'!$I$24)*'Travel Time Savings'!$I$35)</f>
        <v>540144.05397321424</v>
      </c>
      <c r="C20" s="22">
        <f>(('User Volumes'!G10*'Travel Time Savings'!$I$23)*'Travel Time Savings'!$I$36)+(('User Volumes'!I10*'Travel Time Savings'!$I$24)*'Travel Time Savings'!$I$37)</f>
        <v>136206.32260714291</v>
      </c>
      <c r="D20" s="26">
        <f>B20-C20</f>
        <v>403937.73136607133</v>
      </c>
      <c r="G20" s="13"/>
      <c r="H20" s="209"/>
      <c r="I20" s="212"/>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35">
      <c r="A21" s="1">
        <f>IF(A20&lt;'Project Information'!B$11,A20+1,"")</f>
        <v>2033</v>
      </c>
      <c r="B21" s="22">
        <f>(('User Volumes'!F11*'Travel Time Savings'!$I$23)*'Travel Time Savings'!$I$34)+(('User Volumes'!H11*'Travel Time Savings'!$I$24)*'Travel Time Savings'!$I$35)</f>
        <v>541224.34208116063</v>
      </c>
      <c r="C21" s="22">
        <f>(('User Volumes'!G11*'Travel Time Savings'!$I$23)*'Travel Time Savings'!$I$36)+(('User Volumes'!I11*'Travel Time Savings'!$I$24)*'Travel Time Savings'!$I$37)</f>
        <v>136478.73525235718</v>
      </c>
      <c r="D21" s="8">
        <f t="shared" ref="D21:D49" si="0">B21-C21</f>
        <v>404745.60682880343</v>
      </c>
      <c r="G21" s="13"/>
      <c r="H21" s="244" t="s">
        <v>465</v>
      </c>
      <c r="I21" s="245"/>
      <c r="J21" s="245"/>
      <c r="K21" s="245"/>
      <c r="L21" s="245"/>
      <c r="M21" s="245"/>
      <c r="N21" s="245"/>
      <c r="O21" s="245"/>
      <c r="P21" s="245"/>
      <c r="Q21" s="245"/>
      <c r="R21" s="245"/>
      <c r="S21" s="245"/>
      <c r="T21" s="245"/>
      <c r="U21" s="245"/>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35">
      <c r="A22" s="1">
        <f>IF(A21&lt;'Project Information'!B$11,A21+1,"")</f>
        <v>2034</v>
      </c>
      <c r="B22" s="22">
        <f>(('User Volumes'!F12*'Travel Time Savings'!$I$23)*'Travel Time Savings'!$I$34)+(('User Volumes'!H12*'Travel Time Savings'!$I$24)*'Travel Time Savings'!$I$35)</f>
        <v>542306.79076532298</v>
      </c>
      <c r="C22" s="22">
        <f>(('User Volumes'!G12*'Travel Time Savings'!$I$23)*'Travel Time Savings'!$I$36)+(('User Volumes'!I12*'Travel Time Savings'!$I$24)*'Travel Time Savings'!$I$37)</f>
        <v>136751.69272286189</v>
      </c>
      <c r="D22" s="8">
        <f t="shared" si="0"/>
        <v>405555.09804246109</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35">
      <c r="A23" s="1">
        <f>IF(A22&lt;'Project Information'!B$11,A22+1,"")</f>
        <v>2035</v>
      </c>
      <c r="B23" s="22">
        <f>(('User Volumes'!F13*'Travel Time Savings'!$I$23)*'Travel Time Savings'!$I$34)+(('User Volumes'!H13*'Travel Time Savings'!$I$24)*'Travel Time Savings'!$I$35)</f>
        <v>543391.40434685361</v>
      </c>
      <c r="C23" s="22">
        <f>(('User Volumes'!G13*'Travel Time Savings'!$I$23)*'Travel Time Savings'!$I$36)+(('User Volumes'!I13*'Travel Time Savings'!$I$24)*'Travel Time Savings'!$I$37)</f>
        <v>137025.19610830763</v>
      </c>
      <c r="D23" s="8">
        <f t="shared" si="0"/>
        <v>406366.20823854598</v>
      </c>
      <c r="G23" s="13"/>
      <c r="H23" t="s">
        <v>466</v>
      </c>
      <c r="I23" s="233">
        <v>0.1</v>
      </c>
      <c r="J23" t="s">
        <v>467</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35">
      <c r="A24" s="1">
        <f>IF(A23&lt;'Project Information'!B$11,A23+1,"")</f>
        <v>2036</v>
      </c>
      <c r="B24" s="22">
        <f>(('User Volumes'!F14*'Travel Time Savings'!$I$23)*'Travel Time Savings'!$I$34)+(('User Volumes'!H14*'Travel Time Savings'!$I$24)*'Travel Time Savings'!$I$35)</f>
        <v>544478.18715554732</v>
      </c>
      <c r="C24" s="22">
        <f>(('User Volumes'!G14*'Travel Time Savings'!$I$23)*'Travel Time Savings'!$I$36)+(('User Volumes'!I14*'Travel Time Savings'!$I$24)*'Travel Time Savings'!$I$37)</f>
        <v>137299.24650052423</v>
      </c>
      <c r="D24" s="8">
        <f t="shared" si="0"/>
        <v>407178.94065502309</v>
      </c>
      <c r="G24" s="13"/>
      <c r="H24" t="s">
        <v>468</v>
      </c>
      <c r="I24" s="233">
        <v>0.1</v>
      </c>
      <c r="J24" t="s">
        <v>467</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35">
      <c r="A25" s="1">
        <f>IF(A24&lt;'Project Information'!B$11,A24+1,"")</f>
        <v>2037</v>
      </c>
      <c r="B25" s="22">
        <f>(('User Volumes'!F15*'Travel Time Savings'!$I$23)*'Travel Time Savings'!$I$34)+(('User Volumes'!H15*'Travel Time Savings'!$I$24)*'Travel Time Savings'!$I$35)</f>
        <v>545567.14352985844</v>
      </c>
      <c r="C25" s="22">
        <f>(('User Volumes'!G15*'Travel Time Savings'!$I$23)*'Travel Time Savings'!$I$36)+(('User Volumes'!I15*'Travel Time Savings'!$I$24)*'Travel Time Savings'!$I$37)</f>
        <v>137573.8449935253</v>
      </c>
      <c r="D25" s="8">
        <f t="shared" si="0"/>
        <v>407993.29853633314</v>
      </c>
      <c r="G25" s="13"/>
      <c r="H25" t="s">
        <v>469</v>
      </c>
      <c r="I25" s="197">
        <v>0.7</v>
      </c>
      <c r="J25" t="s">
        <v>456</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35">
      <c r="A26" s="1">
        <f>IF(A25&lt;'Project Information'!B$11,A25+1,"")</f>
        <v>2038</v>
      </c>
      <c r="B26" s="22">
        <f>(('User Volumes'!F16*'Travel Time Savings'!$I$23)*'Travel Time Savings'!$I$34)+(('User Volumes'!H16*'Travel Time Savings'!$I$24)*'Travel Time Savings'!$I$35)</f>
        <v>546658.2778169181</v>
      </c>
      <c r="C26" s="22">
        <f>(('User Volumes'!G16*'Travel Time Savings'!$I$23)*'Travel Time Savings'!$I$36)+(('User Volumes'!I16*'Travel Time Savings'!$I$24)*'Travel Time Savings'!$I$37)</f>
        <v>137848.99268351233</v>
      </c>
      <c r="D26" s="8">
        <f t="shared" si="0"/>
        <v>408809.28513340576</v>
      </c>
      <c r="G26" s="13"/>
      <c r="H26" t="s">
        <v>470</v>
      </c>
      <c r="I26" s="197">
        <v>3.2</v>
      </c>
      <c r="J26" t="s">
        <v>460</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5">
      <c r="A27" s="1">
        <f>IF(A26&lt;'Project Information'!B$11,A26+1,"")</f>
        <v>2039</v>
      </c>
      <c r="B27" s="22">
        <f>(('User Volumes'!F17*'Travel Time Savings'!$I$23)*'Travel Time Savings'!$I$34)+(('User Volumes'!H17*'Travel Time Savings'!$I$24)*'Travel Time Savings'!$I$35)</f>
        <v>547751.594372552</v>
      </c>
      <c r="C27" s="22">
        <f>(('User Volumes'!G17*'Travel Time Savings'!$I$23)*'Travel Time Savings'!$I$36)+(('User Volumes'!I17*'Travel Time Savings'!$I$24)*'Travel Time Savings'!$I$37)</f>
        <v>138124.69066887937</v>
      </c>
      <c r="D27" s="8">
        <f t="shared" si="0"/>
        <v>409626.90370367264</v>
      </c>
      <c r="G27" s="13"/>
      <c r="H27" t="s">
        <v>471</v>
      </c>
      <c r="I27" s="197">
        <v>9.8000000000000007</v>
      </c>
      <c r="J27" t="s">
        <v>460</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5">
      <c r="A28" s="1">
        <f>IF(A27&lt;'Project Information'!B$11,A27+1,"")</f>
        <v>2040</v>
      </c>
      <c r="B28" s="22">
        <f>(('User Volumes'!F18*'Travel Time Savings'!$I$23)*'Travel Time Savings'!$I$34)+(('User Volumes'!H18*'Travel Time Savings'!$I$24)*'Travel Time Savings'!$I$35)</f>
        <v>548847.09756129712</v>
      </c>
      <c r="C28" s="22">
        <f>(('User Volumes'!G18*'Travel Time Savings'!$I$23)*'Travel Time Savings'!$I$36)+(('User Volumes'!I18*'Travel Time Savings'!$I$24)*'Travel Time Savings'!$I$37)</f>
        <v>138400.94005021709</v>
      </c>
      <c r="D28" s="8">
        <f t="shared" si="0"/>
        <v>410446.15751108003</v>
      </c>
      <c r="G28" s="13"/>
      <c r="H28" t="s">
        <v>394</v>
      </c>
      <c r="I28" s="213">
        <f>Inputs!Y41</f>
        <v>0.86</v>
      </c>
      <c r="J28" t="s">
        <v>426</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5">
      <c r="A29" s="1">
        <f>IF(A28&lt;'Project Information'!B$11,A28+1,"")</f>
        <v>2041</v>
      </c>
      <c r="B29" s="22">
        <f>(('User Volumes'!F19*'Travel Time Savings'!$I$23)*'Travel Time Savings'!$I$34)+(('User Volumes'!H19*'Travel Time Savings'!$I$24)*'Travel Time Savings'!$I$35)</f>
        <v>549944.7917564197</v>
      </c>
      <c r="C29" s="22">
        <f>(('User Volumes'!G19*'Travel Time Savings'!$I$23)*'Travel Time Savings'!$I$36)+(('User Volumes'!I19*'Travel Time Savings'!$I$24)*'Travel Time Savings'!$I$37)</f>
        <v>138677.74193031754</v>
      </c>
      <c r="D29" s="8">
        <f t="shared" si="0"/>
        <v>411267.04982610216</v>
      </c>
      <c r="G29" s="13"/>
      <c r="H29" t="s">
        <v>408</v>
      </c>
      <c r="I29" s="213">
        <f>Inputs!Y42</f>
        <v>2.38</v>
      </c>
      <c r="J29" t="s">
        <v>427</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5">
      <c r="A30" s="1">
        <f>IF(A29&lt;'Project Information'!B$11,A29+1,"")</f>
        <v>2042</v>
      </c>
      <c r="B30" s="22">
        <f>(('User Volumes'!F20*'Travel Time Savings'!$I$23)*'Travel Time Savings'!$I$34)+(('User Volumes'!H20*'Travel Time Savings'!$I$24)*'Travel Time Savings'!$I$35)</f>
        <v>551044.68133993249</v>
      </c>
      <c r="C30" s="22">
        <f>(('User Volumes'!G20*'Travel Time Savings'!$I$23)*'Travel Time Savings'!$I$36)+(('User Volumes'!I20*'Travel Time Savings'!$I$24)*'Travel Time Savings'!$I$37)</f>
        <v>138955.09741417819</v>
      </c>
      <c r="D30" s="8">
        <f t="shared" si="0"/>
        <v>412089.5839257543</v>
      </c>
      <c r="G30" s="13"/>
      <c r="H30" t="s">
        <v>472</v>
      </c>
      <c r="I30" s="213">
        <f>I28/I26</f>
        <v>0.26874999999999999</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5">
      <c r="A31" s="1">
        <f>IF(A30&lt;'Project Information'!B$11,A30+1,"")</f>
        <v>2043</v>
      </c>
      <c r="B31" s="22">
        <f>(('User Volumes'!F21*'Travel Time Savings'!$I$23)*'Travel Time Savings'!$I$34)+(('User Volumes'!H21*'Travel Time Savings'!$I$24)*'Travel Time Savings'!$I$35)</f>
        <v>552146.77070261235</v>
      </c>
      <c r="C31" s="22">
        <f>(('User Volumes'!G21*'Travel Time Savings'!$I$23)*'Travel Time Savings'!$I$36)+(('User Volumes'!I21*'Travel Time Savings'!$I$24)*'Travel Time Savings'!$I$37)</f>
        <v>139233.00760900654</v>
      </c>
      <c r="D31" s="8">
        <f t="shared" si="0"/>
        <v>412913.76309360581</v>
      </c>
      <c r="G31" s="13"/>
      <c r="H31" t="s">
        <v>473</v>
      </c>
      <c r="I31" s="213">
        <f>I29/I27</f>
        <v>0.24285714285714283</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5">
      <c r="A32" s="1">
        <f>IF(A31&lt;'Project Information'!B$11,A31+1,"")</f>
        <v>2044</v>
      </c>
      <c r="B32" s="22">
        <f>(('User Volumes'!F22*'Travel Time Savings'!$I$23)*'Travel Time Savings'!$I$34)+(('User Volumes'!H22*'Travel Time Savings'!$I$24)*'Travel Time Savings'!$I$35)</f>
        <v>553251.06424401759</v>
      </c>
      <c r="C32" s="22">
        <f>(('User Volumes'!G22*'Travel Time Savings'!$I$23)*'Travel Time Savings'!$I$36)+(('User Volumes'!I22*'Travel Time Savings'!$I$24)*'Travel Time Savings'!$I$37)</f>
        <v>139511.47362422457</v>
      </c>
      <c r="D32" s="8">
        <f t="shared" si="0"/>
        <v>413739.59061979305</v>
      </c>
      <c r="G32" s="13"/>
      <c r="H32" t="s">
        <v>474</v>
      </c>
      <c r="I32">
        <f>(I28-$I$25)/I26</f>
        <v>5.000000000000001E-2</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5">
      <c r="A33" s="1">
        <f>IF(A32&lt;'Project Information'!B$11,A32+1,"")</f>
        <v>2045</v>
      </c>
      <c r="B33" s="22">
        <f>(('User Volumes'!F23*'Travel Time Savings'!$I$23)*'Travel Time Savings'!$I$34)+(('User Volumes'!H23*'Travel Time Savings'!$I$24)*'Travel Time Savings'!$I$35)</f>
        <v>554357.56637250562</v>
      </c>
      <c r="C33" s="22">
        <f>(('User Volumes'!G23*'Travel Time Savings'!$I$23)*'Travel Time Savings'!$I$36)+(('User Volumes'!I23*'Travel Time Savings'!$I$24)*'Travel Time Savings'!$I$37)</f>
        <v>139790.49657147302</v>
      </c>
      <c r="D33" s="8">
        <f t="shared" si="0"/>
        <v>414567.0698010326</v>
      </c>
      <c r="G33" s="13"/>
      <c r="H33" t="s">
        <v>475</v>
      </c>
      <c r="I33" s="213">
        <f>(I29-$I$25)/I27</f>
        <v>0.1714285714285714</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5">
      <c r="A34" s="1">
        <f>IF(A33&lt;'Project Information'!B$11,A33+1,"")</f>
        <v>2046</v>
      </c>
      <c r="B34" s="22">
        <f>(('User Volumes'!F24*'Travel Time Savings'!$I$23)*'Travel Time Savings'!$I$34)+(('User Volumes'!H24*'Travel Time Savings'!$I$24)*'Travel Time Savings'!$I$35)</f>
        <v>555466.2815052506</v>
      </c>
      <c r="C34" s="22">
        <f>(('User Volumes'!G24*'Travel Time Savings'!$I$23)*'Travel Time Savings'!$I$36)+(('User Volumes'!I24*'Travel Time Savings'!$I$24)*'Travel Time Savings'!$I$37)</f>
        <v>140070.07756461596</v>
      </c>
      <c r="D34" s="8">
        <f t="shared" si="0"/>
        <v>415396.20394063462</v>
      </c>
      <c r="G34" s="13"/>
      <c r="H34" t="s">
        <v>476</v>
      </c>
      <c r="I34" s="212">
        <f>I30*$B$11</f>
        <v>10.427499999999998</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5">
      <c r="A35" s="1">
        <f>IF(A34&lt;'Project Information'!B$11,A34+1,"")</f>
        <v>2047</v>
      </c>
      <c r="B35" s="22">
        <f>(('User Volumes'!F25*'Travel Time Savings'!$I$23)*'Travel Time Savings'!$I$34)+(('User Volumes'!H25*'Travel Time Savings'!$I$24)*'Travel Time Savings'!$I$35)</f>
        <v>556577.21406826121</v>
      </c>
      <c r="C35" s="22">
        <f>(('User Volumes'!G25*'Travel Time Savings'!$I$23)*'Travel Time Savings'!$I$36)+(('User Volumes'!I25*'Travel Time Savings'!$I$24)*'Travel Time Savings'!$I$37)</f>
        <v>140350.21771974518</v>
      </c>
      <c r="D35" s="8">
        <f t="shared" si="0"/>
        <v>416226.99634851603</v>
      </c>
      <c r="G35" s="13"/>
      <c r="H35" t="s">
        <v>477</v>
      </c>
      <c r="I35" s="212">
        <f>I31*$B$11</f>
        <v>9.4228571428571417</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5">
      <c r="A36" s="1">
        <f>IF(A35&lt;'Project Information'!B$11,A35+1,"")</f>
        <v>2048</v>
      </c>
      <c r="B36" s="22">
        <f>(('User Volumes'!F26*'Travel Time Savings'!$I$23)*'Travel Time Savings'!$I$34)+(('User Volumes'!H26*'Travel Time Savings'!$I$24)*'Travel Time Savings'!$I$35)</f>
        <v>557690.36849639763</v>
      </c>
      <c r="C36" s="22">
        <f>(('User Volumes'!G26*'Travel Time Savings'!$I$23)*'Travel Time Savings'!$I$36)+(('User Volumes'!I26*'Travel Time Savings'!$I$24)*'Travel Time Savings'!$I$37)</f>
        <v>140630.91815518469</v>
      </c>
      <c r="D36" s="8">
        <f t="shared" si="0"/>
        <v>417059.45034121291</v>
      </c>
      <c r="G36" s="13"/>
      <c r="H36" t="s">
        <v>478</v>
      </c>
      <c r="I36" s="212">
        <f t="shared" ref="I36:I37" si="1">I32*$B$11</f>
        <v>1.9400000000000002</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5">
      <c r="A37" s="1">
        <f>IF(A36&lt;'Project Information'!B$11,A36+1,"")</f>
        <v>2049</v>
      </c>
      <c r="B37" s="22">
        <f>(('User Volumes'!F27*'Travel Time Savings'!$I$23)*'Travel Time Savings'!$I$34)+(('User Volumes'!H27*'Travel Time Savings'!$I$24)*'Travel Time Savings'!$I$35)</f>
        <v>558805.74923339055</v>
      </c>
      <c r="C37" s="22">
        <f>(('User Volumes'!G27*'Travel Time Savings'!$I$23)*'Travel Time Savings'!$I$36)+(('User Volumes'!I27*'Travel Time Savings'!$I$24)*'Travel Time Savings'!$I$37)</f>
        <v>140912.17999149504</v>
      </c>
      <c r="D37" s="8">
        <f t="shared" si="0"/>
        <v>417893.56924189552</v>
      </c>
      <c r="G37" s="13"/>
      <c r="H37" t="s">
        <v>479</v>
      </c>
      <c r="I37" s="212">
        <f t="shared" si="1"/>
        <v>6.6514285714285704</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5">
      <c r="A38" s="1">
        <f>IF(A37&lt;'Project Information'!B$11,A37+1,"")</f>
        <v>2050</v>
      </c>
      <c r="B38" s="22">
        <f>(('User Volumes'!F28*'Travel Time Savings'!$I$23)*'Travel Time Savings'!$I$34)+(('User Volumes'!H28*'Travel Time Savings'!$I$24)*'Travel Time Savings'!$I$35)</f>
        <v>559923.36073185725</v>
      </c>
      <c r="C38" s="22">
        <f>(('User Volumes'!G28*'Travel Time Savings'!$I$23)*'Travel Time Savings'!$I$36)+(('User Volumes'!I28*'Travel Time Savings'!$I$24)*'Travel Time Savings'!$I$37)</f>
        <v>141194.00435147801</v>
      </c>
      <c r="D38" s="8">
        <f t="shared" si="0"/>
        <v>418729.35638037923</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5">
      <c r="A39" s="1">
        <f>IF(A38&lt;'Project Information'!B$11,A38+1,"")</f>
        <v>2051</v>
      </c>
      <c r="B39" s="22">
        <f>(('User Volumes'!F29*'Travel Time Savings'!$I$23)*'Travel Time Savings'!$I$34)+(('User Volumes'!H29*'Travel Time Savings'!$I$24)*'Travel Time Savings'!$I$35)</f>
        <v>561043.20745332097</v>
      </c>
      <c r="C39" s="22">
        <f>(('User Volumes'!G29*'Travel Time Savings'!$I$23)*'Travel Time Savings'!$I$36)+(('User Volumes'!I29*'Travel Time Savings'!$I$24)*'Travel Time Savings'!$I$37)</f>
        <v>141476.39236018099</v>
      </c>
      <c r="D39" s="8">
        <f t="shared" si="0"/>
        <v>419566.81509314</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5">
      <c r="A40" s="1" t="str">
        <f>IF(A39&lt;'Project Information'!B$11,A39+1,"")</f>
        <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5">
      <c r="A41" s="1" t="str">
        <f>IF(A40&lt;'Project Information'!B$11,A40+1,"")</f>
        <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5">
      <c r="A42" s="1" t="str">
        <f>IF(A41&lt;'Project Information'!B$11,A41+1,"")</f>
        <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5">
      <c r="A43" s="1" t="str">
        <f>IF(A42&lt;'Project Information'!B$11,A42+1,"")</f>
        <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5">
      <c r="A44" s="1" t="str">
        <f>IF(A43&lt;'Project Information'!B$11,A43+1,"")</f>
        <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35">
      <c r="A49" s="1" t="str">
        <f>IF(A48&lt;'Project Information'!B$11,A48+1,"")</f>
        <v/>
      </c>
      <c r="B49" s="22">
        <v>0</v>
      </c>
      <c r="C49" s="22">
        <v>0</v>
      </c>
      <c r="D49" s="9">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35">
      <c r="A50" s="31"/>
      <c r="B50" s="32"/>
      <c r="C50" s="32"/>
      <c r="D50" s="29"/>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35">
      <c r="B51" s="28"/>
      <c r="C51" s="28"/>
      <c r="D51" s="29"/>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35">
      <c r="B52" s="28"/>
      <c r="C52" s="28"/>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3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3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3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3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3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3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3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3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3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3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3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3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3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3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3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3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3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3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3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3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3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3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3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3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3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3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3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3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3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3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3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3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3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3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3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3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3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3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3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3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 thickBot="1" x14ac:dyDescent="0.4">
      <c r="G109" s="15"/>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sheetData>
  <conditionalFormatting sqref="B20:B49">
    <cfRule type="expression" dxfId="14" priority="2">
      <formula>A20=""</formula>
    </cfRule>
  </conditionalFormatting>
  <conditionalFormatting sqref="C20:C49">
    <cfRule type="expression" dxfId="13" priority="1">
      <formula>A20=""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workbookViewId="0"/>
  </sheetViews>
  <sheetFormatPr defaultColWidth="9.1796875" defaultRowHeight="14.5" x14ac:dyDescent="0.35"/>
  <cols>
    <col min="1" max="1" width="28.54296875" style="5" customWidth="1"/>
    <col min="2" max="2" width="35.1796875" style="5" customWidth="1"/>
    <col min="3" max="3" width="30.7265625" style="5" customWidth="1"/>
    <col min="4" max="4" width="29.1796875" style="5" customWidth="1"/>
    <col min="5" max="16384" width="9.1796875" style="5"/>
  </cols>
  <sheetData>
    <row r="1" spans="1:9" ht="20" thickBot="1" x14ac:dyDescent="0.5">
      <c r="A1" s="96" t="s">
        <v>223</v>
      </c>
    </row>
    <row r="2" spans="1:9" ht="15" thickTop="1" x14ac:dyDescent="0.35">
      <c r="A2" s="152" t="s">
        <v>245</v>
      </c>
      <c r="B2" s="152"/>
      <c r="C2" s="152"/>
      <c r="D2" s="152"/>
      <c r="E2" s="152"/>
      <c r="F2" s="152"/>
    </row>
    <row r="3" spans="1:9" x14ac:dyDescent="0.35">
      <c r="A3" s="5" t="s">
        <v>205</v>
      </c>
    </row>
    <row r="4" spans="1:9" x14ac:dyDescent="0.35">
      <c r="A4" s="153" t="s">
        <v>357</v>
      </c>
      <c r="B4" s="152"/>
      <c r="C4" s="152"/>
      <c r="D4" s="152"/>
      <c r="E4" s="152"/>
      <c r="F4" s="152"/>
      <c r="G4" s="152"/>
      <c r="H4" s="152"/>
      <c r="I4" s="152"/>
    </row>
    <row r="5" spans="1:9" x14ac:dyDescent="0.35">
      <c r="A5" s="38" t="s">
        <v>205</v>
      </c>
    </row>
    <row r="6" spans="1:9" x14ac:dyDescent="0.35">
      <c r="A6" s="97" t="s">
        <v>246</v>
      </c>
    </row>
    <row r="7" spans="1:9" x14ac:dyDescent="0.35">
      <c r="A7" s="116" t="s">
        <v>48</v>
      </c>
      <c r="B7" s="116" t="s">
        <v>343</v>
      </c>
    </row>
    <row r="8" spans="1:9" x14ac:dyDescent="0.35">
      <c r="A8" s="35" t="s">
        <v>195</v>
      </c>
      <c r="B8" s="42">
        <f>'Parameter Values'!B53</f>
        <v>0.56000000000000005</v>
      </c>
    </row>
    <row r="9" spans="1:9" x14ac:dyDescent="0.35">
      <c r="A9" s="35" t="s">
        <v>196</v>
      </c>
      <c r="B9" s="42">
        <f>'Parameter Values'!B54</f>
        <v>1.27</v>
      </c>
    </row>
    <row r="10" spans="1:9" x14ac:dyDescent="0.35">
      <c r="A10" s="116" t="s">
        <v>273</v>
      </c>
      <c r="B10" s="116" t="s">
        <v>344</v>
      </c>
    </row>
    <row r="11" spans="1:9" x14ac:dyDescent="0.35">
      <c r="A11" s="131" t="s">
        <v>274</v>
      </c>
      <c r="B11" s="132" t="s">
        <v>282</v>
      </c>
    </row>
    <row r="12" spans="1:9" x14ac:dyDescent="0.35">
      <c r="A12" s="35" t="s">
        <v>275</v>
      </c>
      <c r="B12" s="133">
        <f>'Parameter Values'!B63</f>
        <v>262</v>
      </c>
    </row>
    <row r="13" spans="1:9" x14ac:dyDescent="0.35">
      <c r="A13" s="35" t="s">
        <v>276</v>
      </c>
      <c r="B13" s="133">
        <f>'Parameter Values'!B64</f>
        <v>282</v>
      </c>
    </row>
    <row r="14" spans="1:9" x14ac:dyDescent="0.35">
      <c r="A14" s="35" t="s">
        <v>277</v>
      </c>
      <c r="B14" s="133">
        <f>'Parameter Values'!B65</f>
        <v>718</v>
      </c>
    </row>
    <row r="15" spans="1:9" x14ac:dyDescent="0.35">
      <c r="A15" s="35" t="s">
        <v>278</v>
      </c>
      <c r="B15" s="133">
        <f>'Parameter Values'!B66</f>
        <v>323</v>
      </c>
    </row>
    <row r="16" spans="1:9" x14ac:dyDescent="0.35">
      <c r="A16" s="131" t="s">
        <v>279</v>
      </c>
      <c r="B16" s="132" t="s">
        <v>282</v>
      </c>
    </row>
    <row r="17" spans="1:54" x14ac:dyDescent="0.35">
      <c r="A17" s="35" t="s">
        <v>275</v>
      </c>
      <c r="B17" s="133">
        <f>'Parameter Values'!B68</f>
        <v>706</v>
      </c>
    </row>
    <row r="18" spans="1:54" x14ac:dyDescent="0.35">
      <c r="A18" s="35" t="s">
        <v>276</v>
      </c>
      <c r="B18" s="133">
        <f>'Parameter Values'!B69</f>
        <v>687</v>
      </c>
    </row>
    <row r="19" spans="1:54" x14ac:dyDescent="0.35">
      <c r="A19" s="35" t="s">
        <v>277</v>
      </c>
      <c r="B19" s="133">
        <f>'Parameter Values'!B70</f>
        <v>1123</v>
      </c>
    </row>
    <row r="20" spans="1:54" x14ac:dyDescent="0.35">
      <c r="A20" s="35" t="s">
        <v>278</v>
      </c>
      <c r="B20" s="133">
        <f>'Parameter Values'!B71</f>
        <v>728</v>
      </c>
    </row>
    <row r="21" spans="1:54" x14ac:dyDescent="0.35">
      <c r="A21" s="131" t="s">
        <v>280</v>
      </c>
      <c r="B21" s="132" t="s">
        <v>282</v>
      </c>
    </row>
    <row r="22" spans="1:54" x14ac:dyDescent="0.35">
      <c r="A22" s="35" t="s">
        <v>281</v>
      </c>
      <c r="B22" s="42">
        <f>'Parameter Values'!B73</f>
        <v>1.07</v>
      </c>
    </row>
    <row r="23" spans="1:54" x14ac:dyDescent="0.35">
      <c r="A23" s="38" t="s">
        <v>205</v>
      </c>
      <c r="B23" s="38"/>
    </row>
    <row r="24" spans="1:54" ht="15" thickBot="1" x14ac:dyDescent="0.4">
      <c r="A24" s="97" t="s">
        <v>249</v>
      </c>
    </row>
    <row r="25" spans="1:54" x14ac:dyDescent="0.35">
      <c r="A25" s="107" t="s">
        <v>4</v>
      </c>
      <c r="B25" s="108" t="s">
        <v>177</v>
      </c>
      <c r="C25" s="108" t="s">
        <v>178</v>
      </c>
      <c r="D25" s="114" t="s">
        <v>10</v>
      </c>
      <c r="G25" s="10" t="s">
        <v>161</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x14ac:dyDescent="0.35">
      <c r="A26" s="6">
        <f>'Project Information'!$B$9</f>
        <v>2032</v>
      </c>
      <c r="B26" s="22">
        <f>('User Volumes'!B10*(Inputs!X$40))*$B$8</f>
        <v>9532481.4375</v>
      </c>
      <c r="C26" s="22">
        <f>('User Volumes'!C10*(Inputs!Y$40))*$B$8</f>
        <v>9532481.4375</v>
      </c>
      <c r="D26" s="26">
        <f>B26-C26</f>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5">
      <c r="A27" s="1">
        <f>IF(A26&lt;'Project Information'!B$11,A26+1,"")</f>
        <v>2033</v>
      </c>
      <c r="B27" s="22">
        <f>('User Volumes'!B11*(Inputs!X$40))*$B$8</f>
        <v>9551546.4003749993</v>
      </c>
      <c r="C27" s="22">
        <f>('User Volumes'!C11*(Inputs!Y$40))*$B$8</f>
        <v>9551546.4003749993</v>
      </c>
      <c r="D27" s="8">
        <f t="shared" ref="D27:D55" si="0">B27-C27</f>
        <v>0</v>
      </c>
      <c r="G27" s="13"/>
      <c r="H27" s="244" t="str">
        <f>IF(D26=0,"No savings assumed as vehicle volume unchanged by project","Function of vehicle volume and mileage. See Inputs tab for detail")</f>
        <v>No savings assumed as vehicle volume unchanged by project</v>
      </c>
      <c r="I27" s="245"/>
      <c r="J27" s="245"/>
      <c r="K27" s="245"/>
      <c r="L27" s="245"/>
      <c r="M27" s="245"/>
      <c r="N27" s="245"/>
      <c r="O27" s="245"/>
      <c r="P27" s="245"/>
      <c r="Q27" s="245"/>
      <c r="R27" s="245"/>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5">
      <c r="A28" s="1">
        <f>IF(A27&lt;'Project Information'!B$11,A27+1,"")</f>
        <v>2034</v>
      </c>
      <c r="B28" s="22">
        <f>('User Volumes'!B12*(Inputs!X$40))*$B$8</f>
        <v>9570649.4931757487</v>
      </c>
      <c r="C28" s="22">
        <f>('User Volumes'!C12*(Inputs!Y$40))*$B$8</f>
        <v>9570649.4931757487</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5">
      <c r="A29" s="1">
        <f>IF(A28&lt;'Project Information'!B$11,A28+1,"")</f>
        <v>2035</v>
      </c>
      <c r="B29" s="22">
        <f>('User Volumes'!B13*(Inputs!X$40))*$B$8</f>
        <v>9589790.7921620999</v>
      </c>
      <c r="C29" s="22">
        <f>('User Volumes'!C13*(Inputs!Y$40))*$B$8</f>
        <v>9589790.7921620999</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5">
      <c r="A30" s="1">
        <f>IF(A29&lt;'Project Information'!B$11,A29+1,"")</f>
        <v>2036</v>
      </c>
      <c r="B30" s="22">
        <f>('User Volumes'!B14*(Inputs!X$40))*$B$8</f>
        <v>9608970.3737464249</v>
      </c>
      <c r="C30" s="22">
        <f>('User Volumes'!C14*(Inputs!Y$40))*$B$8</f>
        <v>9608970.3737464249</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5">
      <c r="A31" s="1">
        <f>IF(A30&lt;'Project Information'!B$11,A30+1,"")</f>
        <v>2037</v>
      </c>
      <c r="B31" s="22">
        <f>('User Volumes'!B15*(Inputs!X$40))*$B$8</f>
        <v>9628188.3144939169</v>
      </c>
      <c r="C31" s="22">
        <f>('User Volumes'!C15*(Inputs!Y$40))*$B$8</f>
        <v>9628188.3144939169</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5">
      <c r="A32" s="1">
        <f>IF(A31&lt;'Project Information'!B$11,A31+1,"")</f>
        <v>2038</v>
      </c>
      <c r="B32" s="22">
        <f>('User Volumes'!B16*(Inputs!X$40))*$B$8</f>
        <v>9647444.6911229044</v>
      </c>
      <c r="C32" s="22">
        <f>('User Volumes'!C16*(Inputs!Y$40))*$B$8</f>
        <v>9647444.6911229044</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5">
      <c r="A33" s="1">
        <f>IF(A32&lt;'Project Information'!B$11,A32+1,"")</f>
        <v>2039</v>
      </c>
      <c r="B33" s="22">
        <f>('User Volumes'!B17*(Inputs!X$40))*$B$8</f>
        <v>9666739.5805051513</v>
      </c>
      <c r="C33" s="22">
        <f>('User Volumes'!C17*(Inputs!Y$40))*$B$8</f>
        <v>9666739.5805051513</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5">
      <c r="A34" s="1">
        <f>IF(A33&lt;'Project Information'!B$11,A33+1,"")</f>
        <v>2040</v>
      </c>
      <c r="B34" s="22">
        <f>('User Volumes'!B18*(Inputs!X$40))*$B$8</f>
        <v>9686073.0596661624</v>
      </c>
      <c r="C34" s="22">
        <f>('User Volumes'!C18*(Inputs!Y$40))*$B$8</f>
        <v>9686073.0596661624</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5">
      <c r="A35" s="1">
        <f>IF(A34&lt;'Project Information'!B$11,A34+1,"")</f>
        <v>2041</v>
      </c>
      <c r="B35" s="22">
        <f>('User Volumes'!B19*(Inputs!X$40))*$B$8</f>
        <v>9705445.2057854943</v>
      </c>
      <c r="C35" s="22">
        <f>('User Volumes'!C19*(Inputs!Y$40))*$B$8</f>
        <v>9705445.2057854943</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5">
      <c r="A36" s="1">
        <f>IF(A35&lt;'Project Information'!B$11,A35+1,"")</f>
        <v>2042</v>
      </c>
      <c r="B36" s="22">
        <f>('User Volumes'!B20*(Inputs!X$40))*$B$8</f>
        <v>9724856.096197065</v>
      </c>
      <c r="C36" s="22">
        <f>('User Volumes'!C20*(Inputs!Y$40))*$B$8</f>
        <v>9724856.096197065</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5">
      <c r="A37" s="1">
        <f>IF(A36&lt;'Project Information'!B$11,A36+1,"")</f>
        <v>2043</v>
      </c>
      <c r="B37" s="22">
        <f>('User Volumes'!B21*(Inputs!X$40))*$B$8</f>
        <v>9744305.8083894588</v>
      </c>
      <c r="C37" s="22">
        <f>('User Volumes'!C21*(Inputs!Y$40))*$B$8</f>
        <v>9744305.8083894588</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5">
      <c r="A38" s="1">
        <f>IF(A37&lt;'Project Information'!B$11,A37+1,"")</f>
        <v>2044</v>
      </c>
      <c r="B38" s="22">
        <f>('User Volumes'!B22*(Inputs!X$40))*$B$8</f>
        <v>9763794.4200062379</v>
      </c>
      <c r="C38" s="22">
        <f>('User Volumes'!C22*(Inputs!Y$40))*$B$8</f>
        <v>9763794.4200062379</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5">
      <c r="A39" s="1">
        <f>IF(A38&lt;'Project Information'!B$11,A38+1,"")</f>
        <v>2045</v>
      </c>
      <c r="B39" s="22">
        <f>('User Volumes'!B23*(Inputs!X$40))*$B$8</f>
        <v>9783322.0088462532</v>
      </c>
      <c r="C39" s="22">
        <f>('User Volumes'!C23*(Inputs!Y$40))*$B$8</f>
        <v>9783322.0088462532</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5">
      <c r="A40" s="1">
        <f>IF(A39&lt;'Project Information'!B$11,A39+1,"")</f>
        <v>2046</v>
      </c>
      <c r="B40" s="22">
        <f>('User Volumes'!B24*(Inputs!X$40))*$B$8</f>
        <v>9802888.6528639458</v>
      </c>
      <c r="C40" s="22">
        <f>('User Volumes'!C24*(Inputs!Y$40))*$B$8</f>
        <v>9802888.6528639458</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5">
      <c r="A41" s="1">
        <f>IF(A40&lt;'Project Information'!B$11,A40+1,"")</f>
        <v>2047</v>
      </c>
      <c r="B41" s="22">
        <f>('User Volumes'!B25*(Inputs!X$40))*$B$8</f>
        <v>9822494.4301696736</v>
      </c>
      <c r="C41" s="22">
        <f>('User Volumes'!C25*(Inputs!Y$40))*$B$8</f>
        <v>9822494.4301696736</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5">
      <c r="A42" s="1">
        <f>IF(A41&lt;'Project Information'!B$11,A41+1,"")</f>
        <v>2048</v>
      </c>
      <c r="B42" s="22">
        <f>('User Volumes'!B26*(Inputs!X$40))*$B$8</f>
        <v>9842139.4190300126</v>
      </c>
      <c r="C42" s="22">
        <f>('User Volumes'!C26*(Inputs!Y$40))*$B$8</f>
        <v>9842139.4190300126</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5">
      <c r="A43" s="1">
        <f>IF(A42&lt;'Project Information'!B$11,A42+1,"")</f>
        <v>2049</v>
      </c>
      <c r="B43" s="22">
        <f>('User Volumes'!B27*(Inputs!X$40))*$B$8</f>
        <v>9861823.6978680734</v>
      </c>
      <c r="C43" s="22">
        <f>('User Volumes'!C27*(Inputs!Y$40))*$B$8</f>
        <v>9861823.6978680734</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5">
      <c r="A44" s="1">
        <f>IF(A43&lt;'Project Information'!B$11,A43+1,"")</f>
        <v>2050</v>
      </c>
      <c r="B44" s="22">
        <f>('User Volumes'!B28*(Inputs!X$40))*$B$8</f>
        <v>9881547.345263809</v>
      </c>
      <c r="C44" s="22">
        <f>('User Volumes'!C28*(Inputs!Y$40))*$B$8</f>
        <v>9881547.345263809</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5">
      <c r="A45" s="1">
        <f>IF(A44&lt;'Project Information'!B$11,A44+1,"")</f>
        <v>2051</v>
      </c>
      <c r="B45" s="22">
        <f>('User Volumes'!B29*(Inputs!X$40))*$B$8</f>
        <v>9901310.4399543367</v>
      </c>
      <c r="C45" s="22">
        <f>('User Volumes'!C29*(Inputs!Y$40))*$B$8</f>
        <v>9901310.4399543367</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3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3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35">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35">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35">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35">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35">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35">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3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3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3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3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3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35">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35">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35">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35">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3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3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3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3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3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3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3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3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3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3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3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3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3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3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3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3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3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3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3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3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3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3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3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3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3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3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3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3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3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35">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35">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35">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35">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 thickBot="1" x14ac:dyDescent="0.4">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conditionalFormatting sqref="B26:C45 B46:B55">
    <cfRule type="expression" dxfId="12" priority="2">
      <formula>A26=""</formula>
    </cfRule>
  </conditionalFormatting>
  <conditionalFormatting sqref="C46:C55">
    <cfRule type="expression" dxfId="11" priority="1">
      <formula>A46=""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2"/>
  <sheetViews>
    <sheetView workbookViewId="0"/>
  </sheetViews>
  <sheetFormatPr defaultColWidth="9.1796875" defaultRowHeight="14.5" x14ac:dyDescent="0.35"/>
  <cols>
    <col min="1" max="1" width="39" style="5" customWidth="1"/>
    <col min="2" max="2" width="35.453125" style="5" customWidth="1"/>
    <col min="3" max="3" width="35.54296875" style="5" customWidth="1"/>
    <col min="4" max="4" width="30.1796875" style="5" customWidth="1"/>
    <col min="5" max="5" width="26.81640625" style="5" customWidth="1"/>
    <col min="6" max="6" width="7.453125" style="5" customWidth="1"/>
    <col min="7" max="14" width="20.54296875" style="5" customWidth="1"/>
    <col min="15" max="18" width="15.7265625" style="5" customWidth="1"/>
    <col min="19" max="19" width="28.54296875" style="5" customWidth="1"/>
    <col min="20" max="20" width="24.81640625" style="5" customWidth="1"/>
    <col min="21" max="16384" width="9.1796875" style="5"/>
  </cols>
  <sheetData>
    <row r="1" spans="1:9" ht="20" thickBot="1" x14ac:dyDescent="0.5">
      <c r="A1" s="96" t="s">
        <v>224</v>
      </c>
      <c r="B1" s="134"/>
      <c r="C1" s="134"/>
      <c r="D1" s="134"/>
      <c r="E1" s="134"/>
      <c r="F1" s="134"/>
    </row>
    <row r="2" spans="1:9" ht="15" thickTop="1" x14ac:dyDescent="0.35">
      <c r="A2" s="154" t="s">
        <v>359</v>
      </c>
      <c r="B2" s="155"/>
      <c r="C2" s="155"/>
      <c r="D2" s="155"/>
      <c r="E2" s="155"/>
      <c r="F2" s="155"/>
      <c r="G2" s="155"/>
      <c r="H2" s="155"/>
      <c r="I2" s="155"/>
    </row>
    <row r="3" spans="1:9" x14ac:dyDescent="0.35">
      <c r="A3" s="154" t="s">
        <v>320</v>
      </c>
      <c r="B3" s="155"/>
      <c r="C3" s="155"/>
      <c r="D3" s="155"/>
    </row>
    <row r="4" spans="1:9" x14ac:dyDescent="0.35">
      <c r="A4" s="154" t="s">
        <v>321</v>
      </c>
      <c r="B4" s="155"/>
      <c r="C4" s="155"/>
    </row>
    <row r="5" spans="1:9" x14ac:dyDescent="0.35">
      <c r="A5" s="154" t="s">
        <v>311</v>
      </c>
      <c r="B5" s="155"/>
      <c r="C5" s="155"/>
      <c r="D5" s="155"/>
      <c r="E5" s="155"/>
    </row>
    <row r="6" spans="1:9" x14ac:dyDescent="0.35">
      <c r="A6" s="5" t="s">
        <v>205</v>
      </c>
    </row>
    <row r="7" spans="1:9" x14ac:dyDescent="0.35">
      <c r="A7" s="97" t="s">
        <v>298</v>
      </c>
    </row>
    <row r="8" spans="1:9" x14ac:dyDescent="0.35">
      <c r="A8" s="116" t="s">
        <v>144</v>
      </c>
      <c r="B8" s="116" t="s">
        <v>343</v>
      </c>
      <c r="C8" s="116" t="s">
        <v>343</v>
      </c>
    </row>
    <row r="9" spans="1:9" ht="16.5" x14ac:dyDescent="0.35">
      <c r="A9" s="140"/>
      <c r="B9" s="132" t="s">
        <v>296</v>
      </c>
      <c r="C9" s="132" t="s">
        <v>297</v>
      </c>
    </row>
    <row r="10" spans="1:9" x14ac:dyDescent="0.35">
      <c r="A10" s="35" t="s">
        <v>148</v>
      </c>
      <c r="B10" s="176" t="s">
        <v>102</v>
      </c>
      <c r="C10" s="141">
        <f>'Parameter Values'!F231</f>
        <v>0.11</v>
      </c>
    </row>
    <row r="11" spans="1:9" x14ac:dyDescent="0.35">
      <c r="A11" s="35" t="s">
        <v>149</v>
      </c>
      <c r="B11" s="176" t="s">
        <v>102</v>
      </c>
      <c r="C11" s="141">
        <f>'Parameter Values'!F232</f>
        <v>0.113</v>
      </c>
    </row>
    <row r="12" spans="1:9" x14ac:dyDescent="0.35">
      <c r="A12" s="35" t="s">
        <v>150</v>
      </c>
      <c r="B12" s="141">
        <f>'Parameter Values'!E233</f>
        <v>1.2999999999999999E-2</v>
      </c>
      <c r="C12" s="141">
        <f>'Parameter Values'!F233</f>
        <v>0.111</v>
      </c>
    </row>
    <row r="13" spans="1:9" x14ac:dyDescent="0.35">
      <c r="A13" s="35" t="s">
        <v>151</v>
      </c>
      <c r="B13" s="176" t="s">
        <v>102</v>
      </c>
      <c r="C13" s="141">
        <f>'Parameter Values'!F234</f>
        <v>0.314</v>
      </c>
    </row>
    <row r="14" spans="1:9" x14ac:dyDescent="0.35">
      <c r="A14" s="35" t="s">
        <v>152</v>
      </c>
      <c r="B14" s="176" t="s">
        <v>102</v>
      </c>
      <c r="C14" s="141">
        <f>'Parameter Values'!F235</f>
        <v>0.31</v>
      </c>
    </row>
    <row r="15" spans="1:9" x14ac:dyDescent="0.35">
      <c r="A15" s="35" t="s">
        <v>153</v>
      </c>
      <c r="B15" s="141">
        <f>'Parameter Values'!E236</f>
        <v>3.6999999999999998E-2</v>
      </c>
      <c r="C15" s="141">
        <f>'Parameter Values'!F236</f>
        <v>0.312</v>
      </c>
    </row>
    <row r="16" spans="1:9" x14ac:dyDescent="0.35">
      <c r="A16" s="35" t="s">
        <v>154</v>
      </c>
      <c r="B16" s="176" t="s">
        <v>102</v>
      </c>
      <c r="C16" s="141">
        <f>'Parameter Values'!F237</f>
        <v>0.128</v>
      </c>
    </row>
    <row r="17" spans="1:74" x14ac:dyDescent="0.35">
      <c r="A17" s="35" t="s">
        <v>155</v>
      </c>
      <c r="B17" s="176" t="s">
        <v>102</v>
      </c>
      <c r="C17" s="141">
        <f>'Parameter Values'!F238</f>
        <v>0.14499999999999999</v>
      </c>
    </row>
    <row r="18" spans="1:74" x14ac:dyDescent="0.35">
      <c r="A18" s="35" t="s">
        <v>156</v>
      </c>
      <c r="B18" s="141">
        <f>'Parameter Values'!E239</f>
        <v>1.4999999999999999E-2</v>
      </c>
      <c r="C18" s="141">
        <f>'Parameter Values'!F239</f>
        <v>0.13300000000000001</v>
      </c>
    </row>
    <row r="19" spans="1:74" x14ac:dyDescent="0.35">
      <c r="A19" s="116" t="s">
        <v>273</v>
      </c>
      <c r="B19" s="116" t="s">
        <v>344</v>
      </c>
      <c r="C19" s="116" t="s">
        <v>344</v>
      </c>
    </row>
    <row r="20" spans="1:74" ht="16.5" x14ac:dyDescent="0.35">
      <c r="A20" s="131" t="s">
        <v>274</v>
      </c>
      <c r="B20" s="132" t="s">
        <v>296</v>
      </c>
      <c r="C20" s="132" t="s">
        <v>297</v>
      </c>
    </row>
    <row r="21" spans="1:74" x14ac:dyDescent="0.35">
      <c r="A21" s="35" t="s">
        <v>275</v>
      </c>
      <c r="B21" s="133">
        <f>'Parameter Values'!C63</f>
        <v>776</v>
      </c>
      <c r="C21" s="133">
        <f>'Parameter Values'!D63</f>
        <v>29</v>
      </c>
    </row>
    <row r="22" spans="1:74" x14ac:dyDescent="0.35">
      <c r="A22" s="35" t="s">
        <v>276</v>
      </c>
      <c r="B22" s="133">
        <f>'Parameter Values'!C64</f>
        <v>106</v>
      </c>
      <c r="C22" s="133">
        <f>'Parameter Values'!D64</f>
        <v>27</v>
      </c>
    </row>
    <row r="23" spans="1:74" x14ac:dyDescent="0.35">
      <c r="A23" s="35" t="s">
        <v>277</v>
      </c>
      <c r="B23" s="133">
        <f>'Parameter Values'!C65</f>
        <v>106</v>
      </c>
      <c r="C23" s="133">
        <f>'Parameter Values'!D65</f>
        <v>27</v>
      </c>
    </row>
    <row r="24" spans="1:74" x14ac:dyDescent="0.35">
      <c r="A24" s="35" t="s">
        <v>278</v>
      </c>
      <c r="B24" s="133">
        <f>'Parameter Values'!C66</f>
        <v>106</v>
      </c>
      <c r="C24" s="133">
        <f>'Parameter Values'!D66</f>
        <v>27</v>
      </c>
    </row>
    <row r="25" spans="1:74" ht="16.5" x14ac:dyDescent="0.35">
      <c r="A25" s="131" t="s">
        <v>279</v>
      </c>
      <c r="B25" s="132" t="s">
        <v>296</v>
      </c>
      <c r="C25" s="132" t="s">
        <v>297</v>
      </c>
    </row>
    <row r="26" spans="1:74" x14ac:dyDescent="0.35">
      <c r="A26" s="35" t="s">
        <v>275</v>
      </c>
      <c r="B26" s="133">
        <f>'Parameter Values'!C68</f>
        <v>2284</v>
      </c>
      <c r="C26" s="133">
        <f>'Parameter Values'!D68</f>
        <v>290</v>
      </c>
    </row>
    <row r="27" spans="1:74" x14ac:dyDescent="0.35">
      <c r="A27" s="35" t="s">
        <v>276</v>
      </c>
      <c r="B27" s="133">
        <f>'Parameter Values'!C69</f>
        <v>755</v>
      </c>
      <c r="C27" s="133">
        <f>'Parameter Values'!D69</f>
        <v>226</v>
      </c>
    </row>
    <row r="28" spans="1:74" x14ac:dyDescent="0.35">
      <c r="A28" s="35" t="s">
        <v>277</v>
      </c>
      <c r="B28" s="133">
        <f>'Parameter Values'!C70</f>
        <v>755</v>
      </c>
      <c r="C28" s="133">
        <f>'Parameter Values'!D70</f>
        <v>226</v>
      </c>
    </row>
    <row r="29" spans="1:74" x14ac:dyDescent="0.35">
      <c r="A29" s="35" t="s">
        <v>278</v>
      </c>
      <c r="B29" s="133">
        <f>'Parameter Values'!C71</f>
        <v>755</v>
      </c>
      <c r="C29" s="133">
        <f>'Parameter Values'!D71</f>
        <v>226</v>
      </c>
    </row>
    <row r="30" spans="1:74" x14ac:dyDescent="0.35">
      <c r="A30" s="5" t="s">
        <v>205</v>
      </c>
    </row>
    <row r="31" spans="1:74" ht="15" thickBot="1" x14ac:dyDescent="0.4">
      <c r="A31" s="97" t="s">
        <v>295</v>
      </c>
      <c r="B31" s="135"/>
      <c r="C31" s="135"/>
      <c r="D31" s="135"/>
      <c r="E31" s="135"/>
      <c r="F31" s="135"/>
    </row>
    <row r="32" spans="1:74" ht="16.5" x14ac:dyDescent="0.45">
      <c r="A32" s="107" t="s">
        <v>4</v>
      </c>
      <c r="B32" s="110" t="s">
        <v>291</v>
      </c>
      <c r="C32" s="110" t="s">
        <v>292</v>
      </c>
      <c r="D32" s="110" t="s">
        <v>293</v>
      </c>
      <c r="E32" s="110" t="s">
        <v>294</v>
      </c>
      <c r="F32" s="110"/>
      <c r="G32" s="110" t="s">
        <v>225</v>
      </c>
      <c r="H32" s="108" t="s">
        <v>226</v>
      </c>
      <c r="I32" s="110" t="s">
        <v>227</v>
      </c>
      <c r="J32" s="108" t="s">
        <v>228</v>
      </c>
      <c r="K32" s="110" t="s">
        <v>229</v>
      </c>
      <c r="L32" s="108" t="s">
        <v>230</v>
      </c>
      <c r="M32" s="110" t="s">
        <v>231</v>
      </c>
      <c r="N32" s="108" t="s">
        <v>232</v>
      </c>
      <c r="O32" s="111" t="s">
        <v>233</v>
      </c>
      <c r="P32" s="112" t="s">
        <v>234</v>
      </c>
      <c r="Q32" s="112" t="s">
        <v>235</v>
      </c>
      <c r="R32" s="112" t="s">
        <v>236</v>
      </c>
      <c r="S32" s="113" t="s">
        <v>237</v>
      </c>
      <c r="T32" s="108" t="s">
        <v>238</v>
      </c>
      <c r="AA32" s="10" t="s">
        <v>161</v>
      </c>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2"/>
    </row>
    <row r="33" spans="1:74" x14ac:dyDescent="0.35">
      <c r="A33" s="6">
        <f>'Project Information'!$B$9</f>
        <v>2032</v>
      </c>
      <c r="B33" s="136">
        <f>('User Volumes'!B10*(Inputs!X$40))*$B$18</f>
        <v>255334.32421875</v>
      </c>
      <c r="C33" s="136">
        <f>('User Volumes'!C10*(Inputs!Y$40))*$B$18</f>
        <v>255334.32421875</v>
      </c>
      <c r="D33" s="136">
        <f>('User Volumes'!B10*(Inputs!X$40))*$C$18</f>
        <v>2263964.3414062499</v>
      </c>
      <c r="E33" s="136">
        <f>('User Volumes'!C10*(Inputs!Y$40))*$C$18</f>
        <v>2263964.3414062499</v>
      </c>
      <c r="F33" s="6"/>
      <c r="G33" s="27">
        <v>0</v>
      </c>
      <c r="H33" s="27">
        <v>0</v>
      </c>
      <c r="I33" s="27">
        <v>0</v>
      </c>
      <c r="J33" s="27">
        <v>0</v>
      </c>
      <c r="K33" s="27">
        <v>0</v>
      </c>
      <c r="L33" s="27">
        <v>0</v>
      </c>
      <c r="M33" s="27">
        <v>0</v>
      </c>
      <c r="N33" s="27">
        <v>0</v>
      </c>
      <c r="O33" s="19">
        <f>IFERROR(VLOOKUP($A33,'Parameter Values'!$A$78:$E$107,2,FALSE),'Parameter Values'!B$107)</f>
        <v>22900</v>
      </c>
      <c r="P33" s="19">
        <f>IFERROR(VLOOKUP($A33,'Parameter Values'!$A$78:$E$107,3,FALSE),'Parameter Values'!C$107)</f>
        <v>63700</v>
      </c>
      <c r="Q33" s="19">
        <f>IFERROR(VLOOKUP($A33,'Parameter Values'!$A$78:$E$107,4,FALSE),'Parameter Values'!D$107)</f>
        <v>1108000</v>
      </c>
      <c r="R33" s="19">
        <f>IFERROR(VLOOKUP($A33,'Parameter Values'!$A$78:$E$107,5,FALSE),'Parameter Values'!E$107)</f>
        <v>275</v>
      </c>
      <c r="S33" s="19">
        <f>(B33-C33)+((G33-H33)*O33)+((I33-J33)*P33)+((K33-L33)*Q33)</f>
        <v>0</v>
      </c>
      <c r="T33" s="18">
        <f>(D33-E33)+((M33-N33)*R33)</f>
        <v>0</v>
      </c>
      <c r="AA33" s="1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s="14"/>
    </row>
    <row r="34" spans="1:74" x14ac:dyDescent="0.35">
      <c r="A34" s="1">
        <f>IF(A33&lt;'Project Information'!B$11,A33+1,"")</f>
        <v>2033</v>
      </c>
      <c r="B34" s="136">
        <f>('User Volumes'!B11*(Inputs!X$40))*$B$18</f>
        <v>255844.99286718745</v>
      </c>
      <c r="C34" s="136">
        <f>('User Volumes'!C11*(Inputs!Y$40))*$B$18</f>
        <v>255844.99286718745</v>
      </c>
      <c r="D34" s="136">
        <f>('User Volumes'!B11*(Inputs!X$40))*$C$18</f>
        <v>2268492.2700890624</v>
      </c>
      <c r="E34" s="136">
        <f>('User Volumes'!C11*(Inputs!Y$40))*$C$18</f>
        <v>2268492.2700890624</v>
      </c>
      <c r="F34" s="1"/>
      <c r="G34" s="27">
        <v>0</v>
      </c>
      <c r="H34" s="27">
        <v>0</v>
      </c>
      <c r="I34" s="27">
        <v>0</v>
      </c>
      <c r="J34" s="27">
        <v>0</v>
      </c>
      <c r="K34" s="27">
        <v>0</v>
      </c>
      <c r="L34" s="27">
        <v>0</v>
      </c>
      <c r="M34" s="27">
        <v>0</v>
      </c>
      <c r="N34" s="27">
        <v>0</v>
      </c>
      <c r="O34" s="19">
        <f>IFERROR(VLOOKUP($A34,'Parameter Values'!$A$78:$E$107,2,FALSE),'Parameter Values'!B$107)</f>
        <v>22900</v>
      </c>
      <c r="P34" s="19">
        <f>IFERROR(VLOOKUP($A34,'Parameter Values'!$A$78:$E$107,3,FALSE),'Parameter Values'!C$107)</f>
        <v>63700</v>
      </c>
      <c r="Q34" s="19">
        <f>IFERROR(VLOOKUP($A34,'Parameter Values'!$A$78:$E$107,4,FALSE),'Parameter Values'!D$107)</f>
        <v>1108000</v>
      </c>
      <c r="R34" s="19">
        <f>IFERROR(VLOOKUP($A34,'Parameter Values'!$A$78:$E$107,5,FALSE),'Parameter Values'!E$107)</f>
        <v>280</v>
      </c>
      <c r="S34" s="19">
        <f t="shared" ref="S34:S62" si="0">(B34-C34)+((G34-H34)*O34)+((I34-J34)*P34)+((K34-L34)*Q34)</f>
        <v>0</v>
      </c>
      <c r="T34" s="18">
        <f t="shared" ref="T34:T62" si="1">(D34-E34)+((M34-N34)*R34)</f>
        <v>0</v>
      </c>
      <c r="AA34" s="13"/>
      <c r="AB34" s="244" t="str">
        <f>IF(T33=0,"No savings assumed as vehicle volume unchanged by project","Function of vehicle volume and mileage. See Inputs tab for detail")</f>
        <v>No savings assumed as vehicle volume unchanged by project</v>
      </c>
      <c r="AC34" s="245"/>
      <c r="AD34" s="245"/>
      <c r="AE34" s="245"/>
      <c r="AF34" s="245"/>
      <c r="AG34" s="245"/>
      <c r="AH34" s="245"/>
      <c r="AI34" s="245"/>
      <c r="AJ34" s="245"/>
      <c r="AK34" s="245"/>
      <c r="AL34" s="245"/>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s="14"/>
    </row>
    <row r="35" spans="1:74" x14ac:dyDescent="0.35">
      <c r="A35" s="1">
        <f>IF(A34&lt;'Project Information'!B$11,A34+1,"")</f>
        <v>2034</v>
      </c>
      <c r="B35" s="136">
        <f>('User Volumes'!B12*(Inputs!X$40))*$B$18</f>
        <v>256356.6828529218</v>
      </c>
      <c r="C35" s="136">
        <f>('User Volumes'!C12*(Inputs!Y$40))*$B$18</f>
        <v>256356.6828529218</v>
      </c>
      <c r="D35" s="136">
        <f>('User Volumes'!B12*(Inputs!X$40))*$C$18</f>
        <v>2273029.2546292404</v>
      </c>
      <c r="E35" s="136">
        <f>('User Volumes'!C12*(Inputs!Y$40))*$C$18</f>
        <v>2273029.2546292404</v>
      </c>
      <c r="F35" s="1"/>
      <c r="G35" s="27">
        <v>0</v>
      </c>
      <c r="H35" s="27">
        <v>0</v>
      </c>
      <c r="I35" s="27">
        <v>0</v>
      </c>
      <c r="J35" s="27">
        <v>0</v>
      </c>
      <c r="K35" s="27">
        <v>0</v>
      </c>
      <c r="L35" s="27">
        <v>0</v>
      </c>
      <c r="M35" s="27">
        <v>0</v>
      </c>
      <c r="N35" s="27">
        <v>0</v>
      </c>
      <c r="O35" s="19">
        <f>IFERROR(VLOOKUP($A35,'Parameter Values'!$A$78:$E$107,2,FALSE),'Parameter Values'!B$107)</f>
        <v>22900</v>
      </c>
      <c r="P35" s="19">
        <f>IFERROR(VLOOKUP($A35,'Parameter Values'!$A$78:$E$107,3,FALSE),'Parameter Values'!C$107)</f>
        <v>63700</v>
      </c>
      <c r="Q35" s="19">
        <f>IFERROR(VLOOKUP($A35,'Parameter Values'!$A$78:$E$107,4,FALSE),'Parameter Values'!D$107)</f>
        <v>1108000</v>
      </c>
      <c r="R35" s="19">
        <f>IFERROR(VLOOKUP($A35,'Parameter Values'!$A$78:$E$107,5,FALSE),'Parameter Values'!E$107)</f>
        <v>284</v>
      </c>
      <c r="S35" s="19">
        <f t="shared" si="0"/>
        <v>0</v>
      </c>
      <c r="T35" s="18">
        <f t="shared" si="1"/>
        <v>0</v>
      </c>
      <c r="AA35" s="13"/>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s="14"/>
    </row>
    <row r="36" spans="1:74" x14ac:dyDescent="0.35">
      <c r="A36" s="1">
        <f>IF(A35&lt;'Project Information'!B$11,A35+1,"")</f>
        <v>2035</v>
      </c>
      <c r="B36" s="136">
        <f>('User Volumes'!B13*(Inputs!X$40))*$B$18</f>
        <v>256869.39621862766</v>
      </c>
      <c r="C36" s="136">
        <f>('User Volumes'!C13*(Inputs!Y$40))*$B$18</f>
        <v>256869.39621862766</v>
      </c>
      <c r="D36" s="136">
        <f>('User Volumes'!B13*(Inputs!X$40))*$C$18</f>
        <v>2277575.3131384989</v>
      </c>
      <c r="E36" s="136">
        <f>('User Volumes'!C13*(Inputs!Y$40))*$C$18</f>
        <v>2277575.3131384989</v>
      </c>
      <c r="F36" s="1"/>
      <c r="G36" s="27">
        <v>0</v>
      </c>
      <c r="H36" s="27">
        <v>0</v>
      </c>
      <c r="I36" s="27">
        <v>0</v>
      </c>
      <c r="J36" s="27">
        <v>0</v>
      </c>
      <c r="K36" s="27">
        <v>0</v>
      </c>
      <c r="L36" s="27">
        <v>0</v>
      </c>
      <c r="M36" s="27">
        <v>0</v>
      </c>
      <c r="N36" s="27">
        <v>0</v>
      </c>
      <c r="O36" s="19">
        <f>IFERROR(VLOOKUP($A36,'Parameter Values'!$A$78:$E$107,2,FALSE),'Parameter Values'!B$107)</f>
        <v>22900</v>
      </c>
      <c r="P36" s="19">
        <f>IFERROR(VLOOKUP($A36,'Parameter Values'!$A$78:$E$107,3,FALSE),'Parameter Values'!C$107)</f>
        <v>63700</v>
      </c>
      <c r="Q36" s="19">
        <f>IFERROR(VLOOKUP($A36,'Parameter Values'!$A$78:$E$107,4,FALSE),'Parameter Values'!D$107)</f>
        <v>1108000</v>
      </c>
      <c r="R36" s="19">
        <f>IFERROR(VLOOKUP($A36,'Parameter Values'!$A$78:$E$107,5,FALSE),'Parameter Values'!E$107)</f>
        <v>288</v>
      </c>
      <c r="S36" s="19">
        <f t="shared" si="0"/>
        <v>0</v>
      </c>
      <c r="T36" s="18">
        <f t="shared" si="1"/>
        <v>0</v>
      </c>
      <c r="AA36" s="13"/>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s="14"/>
    </row>
    <row r="37" spans="1:74" x14ac:dyDescent="0.35">
      <c r="A37" s="1">
        <f>IF(A36&lt;'Project Information'!B$11,A36+1,"")</f>
        <v>2036</v>
      </c>
      <c r="B37" s="136">
        <f>('User Volumes'!B14*(Inputs!X$40))*$B$18</f>
        <v>257383.13501106491</v>
      </c>
      <c r="C37" s="136">
        <f>('User Volumes'!C14*(Inputs!Y$40))*$B$18</f>
        <v>257383.13501106491</v>
      </c>
      <c r="D37" s="136">
        <f>('User Volumes'!B14*(Inputs!X$40))*$C$18</f>
        <v>2282130.4637647755</v>
      </c>
      <c r="E37" s="136">
        <f>('User Volumes'!C14*(Inputs!Y$40))*$C$18</f>
        <v>2282130.4637647755</v>
      </c>
      <c r="F37" s="1"/>
      <c r="G37" s="27">
        <v>0</v>
      </c>
      <c r="H37" s="27">
        <v>0</v>
      </c>
      <c r="I37" s="27">
        <v>0</v>
      </c>
      <c r="J37" s="27">
        <v>0</v>
      </c>
      <c r="K37" s="27">
        <v>0</v>
      </c>
      <c r="L37" s="27">
        <v>0</v>
      </c>
      <c r="M37" s="27">
        <v>0</v>
      </c>
      <c r="N37" s="27">
        <v>0</v>
      </c>
      <c r="O37" s="19">
        <f>IFERROR(VLOOKUP($A37,'Parameter Values'!$A$78:$E$107,2,FALSE),'Parameter Values'!B$107)</f>
        <v>22900</v>
      </c>
      <c r="P37" s="19">
        <f>IFERROR(VLOOKUP($A37,'Parameter Values'!$A$78:$E$107,3,FALSE),'Parameter Values'!C$107)</f>
        <v>63700</v>
      </c>
      <c r="Q37" s="19">
        <f>IFERROR(VLOOKUP($A37,'Parameter Values'!$A$78:$E$107,4,FALSE),'Parameter Values'!D$107)</f>
        <v>1108000</v>
      </c>
      <c r="R37" s="19">
        <f>IFERROR(VLOOKUP($A37,'Parameter Values'!$A$78:$E$107,5,FALSE),'Parameter Values'!E$107)</f>
        <v>292</v>
      </c>
      <c r="S37" s="19">
        <f t="shared" si="0"/>
        <v>0</v>
      </c>
      <c r="T37" s="18">
        <f t="shared" si="1"/>
        <v>0</v>
      </c>
      <c r="AA37" s="13"/>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s="14"/>
    </row>
    <row r="38" spans="1:74" x14ac:dyDescent="0.35">
      <c r="A38" s="1">
        <f>IF(A37&lt;'Project Information'!B$11,A37+1,"")</f>
        <v>2037</v>
      </c>
      <c r="B38" s="136">
        <f>('User Volumes'!B15*(Inputs!X$40))*$B$18</f>
        <v>257897.90128108705</v>
      </c>
      <c r="C38" s="136">
        <f>('User Volumes'!C15*(Inputs!Y$40))*$B$18</f>
        <v>257897.90128108705</v>
      </c>
      <c r="D38" s="136">
        <f>('User Volumes'!B15*(Inputs!X$40))*$C$18</f>
        <v>2286694.7246923051</v>
      </c>
      <c r="E38" s="136">
        <f>('User Volumes'!C15*(Inputs!Y$40))*$C$18</f>
        <v>2286694.7246923051</v>
      </c>
      <c r="F38" s="1"/>
      <c r="G38" s="27">
        <v>0</v>
      </c>
      <c r="H38" s="27">
        <v>0</v>
      </c>
      <c r="I38" s="27">
        <v>0</v>
      </c>
      <c r="J38" s="27">
        <v>0</v>
      </c>
      <c r="K38" s="27">
        <v>0</v>
      </c>
      <c r="L38" s="27">
        <v>0</v>
      </c>
      <c r="M38" s="27">
        <v>0</v>
      </c>
      <c r="N38" s="27">
        <v>0</v>
      </c>
      <c r="O38" s="19">
        <f>IFERROR(VLOOKUP($A38,'Parameter Values'!$A$78:$E$107,2,FALSE),'Parameter Values'!B$107)</f>
        <v>22900</v>
      </c>
      <c r="P38" s="19">
        <f>IFERROR(VLOOKUP($A38,'Parameter Values'!$A$78:$E$107,3,FALSE),'Parameter Values'!C$107)</f>
        <v>63700</v>
      </c>
      <c r="Q38" s="19">
        <f>IFERROR(VLOOKUP($A38,'Parameter Values'!$A$78:$E$107,4,FALSE),'Parameter Values'!D$107)</f>
        <v>1108000</v>
      </c>
      <c r="R38" s="19">
        <f>IFERROR(VLOOKUP($A38,'Parameter Values'!$A$78:$E$107,5,FALSE),'Parameter Values'!E$107)</f>
        <v>297</v>
      </c>
      <c r="S38" s="19">
        <f t="shared" si="0"/>
        <v>0</v>
      </c>
      <c r="T38" s="18">
        <f t="shared" si="1"/>
        <v>0</v>
      </c>
      <c r="AA38" s="13"/>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s="14"/>
    </row>
    <row r="39" spans="1:74" x14ac:dyDescent="0.35">
      <c r="A39" s="1">
        <f>IF(A38&lt;'Project Information'!B$11,A38+1,"")</f>
        <v>2038</v>
      </c>
      <c r="B39" s="136">
        <f>('User Volumes'!B16*(Inputs!X$40))*$B$18</f>
        <v>258413.69708364923</v>
      </c>
      <c r="C39" s="136">
        <f>('User Volumes'!C16*(Inputs!Y$40))*$B$18</f>
        <v>258413.69708364923</v>
      </c>
      <c r="D39" s="136">
        <f>('User Volumes'!B16*(Inputs!X$40))*$C$18</f>
        <v>2291268.1141416901</v>
      </c>
      <c r="E39" s="136">
        <f>('User Volumes'!C16*(Inputs!Y$40))*$C$18</f>
        <v>2291268.1141416901</v>
      </c>
      <c r="F39" s="1"/>
      <c r="G39" s="27">
        <v>0</v>
      </c>
      <c r="H39" s="27">
        <v>0</v>
      </c>
      <c r="I39" s="27">
        <v>0</v>
      </c>
      <c r="J39" s="27">
        <v>0</v>
      </c>
      <c r="K39" s="27">
        <v>0</v>
      </c>
      <c r="L39" s="27">
        <v>0</v>
      </c>
      <c r="M39" s="27">
        <v>0</v>
      </c>
      <c r="N39" s="27">
        <v>0</v>
      </c>
      <c r="O39" s="19">
        <f>IFERROR(VLOOKUP($A39,'Parameter Values'!$A$78:$E$107,2,FALSE),'Parameter Values'!B$107)</f>
        <v>22900</v>
      </c>
      <c r="P39" s="19">
        <f>IFERROR(VLOOKUP($A39,'Parameter Values'!$A$78:$E$107,3,FALSE),'Parameter Values'!C$107)</f>
        <v>63700</v>
      </c>
      <c r="Q39" s="19">
        <f>IFERROR(VLOOKUP($A39,'Parameter Values'!$A$78:$E$107,4,FALSE),'Parameter Values'!D$107)</f>
        <v>1108000</v>
      </c>
      <c r="R39" s="19">
        <f>IFERROR(VLOOKUP($A39,'Parameter Values'!$A$78:$E$107,5,FALSE),'Parameter Values'!E$107)</f>
        <v>301</v>
      </c>
      <c r="S39" s="19">
        <f t="shared" si="0"/>
        <v>0</v>
      </c>
      <c r="T39" s="18">
        <f t="shared" si="1"/>
        <v>0</v>
      </c>
      <c r="AA39" s="13"/>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s="14"/>
    </row>
    <row r="40" spans="1:74" x14ac:dyDescent="0.35">
      <c r="A40" s="1">
        <f>IF(A39&lt;'Project Information'!B$11,A39+1,"")</f>
        <v>2039</v>
      </c>
      <c r="B40" s="136">
        <f>('User Volumes'!B17*(Inputs!X$40))*$B$18</f>
        <v>258930.52447781654</v>
      </c>
      <c r="C40" s="136">
        <f>('User Volumes'!C17*(Inputs!Y$40))*$B$18</f>
        <v>258930.52447781654</v>
      </c>
      <c r="D40" s="136">
        <f>('User Volumes'!B17*(Inputs!X$40))*$C$18</f>
        <v>2295850.6503699734</v>
      </c>
      <c r="E40" s="136">
        <f>('User Volumes'!C17*(Inputs!Y$40))*$C$18</f>
        <v>2295850.6503699734</v>
      </c>
      <c r="F40" s="1"/>
      <c r="G40" s="27">
        <v>0</v>
      </c>
      <c r="H40" s="27">
        <v>0</v>
      </c>
      <c r="I40" s="27">
        <v>0</v>
      </c>
      <c r="J40" s="27">
        <v>0</v>
      </c>
      <c r="K40" s="27">
        <v>0</v>
      </c>
      <c r="L40" s="27">
        <v>0</v>
      </c>
      <c r="M40" s="27">
        <v>0</v>
      </c>
      <c r="N40" s="27">
        <v>0</v>
      </c>
      <c r="O40" s="19">
        <f>IFERROR(VLOOKUP($A40,'Parameter Values'!$A$78:$E$107,2,FALSE),'Parameter Values'!B$107)</f>
        <v>22900</v>
      </c>
      <c r="P40" s="19">
        <f>IFERROR(VLOOKUP($A40,'Parameter Values'!$A$78:$E$107,3,FALSE),'Parameter Values'!C$107)</f>
        <v>63700</v>
      </c>
      <c r="Q40" s="19">
        <f>IFERROR(VLOOKUP($A40,'Parameter Values'!$A$78:$E$107,4,FALSE),'Parameter Values'!D$107)</f>
        <v>1108000</v>
      </c>
      <c r="R40" s="19">
        <f>IFERROR(VLOOKUP($A40,'Parameter Values'!$A$78:$E$107,5,FALSE),'Parameter Values'!E$107)</f>
        <v>305</v>
      </c>
      <c r="S40" s="19">
        <f t="shared" si="0"/>
        <v>0</v>
      </c>
      <c r="T40" s="18">
        <f t="shared" si="1"/>
        <v>0</v>
      </c>
      <c r="AA40" s="13"/>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s="14"/>
    </row>
    <row r="41" spans="1:74" x14ac:dyDescent="0.35">
      <c r="A41" s="1">
        <f>IF(A40&lt;'Project Information'!B$11,A40+1,"")</f>
        <v>2040</v>
      </c>
      <c r="B41" s="136">
        <f>('User Volumes'!B18*(Inputs!X$40))*$B$18</f>
        <v>259448.38552677215</v>
      </c>
      <c r="C41" s="136">
        <f>('User Volumes'!C18*(Inputs!Y$40))*$B$18</f>
        <v>259448.38552677215</v>
      </c>
      <c r="D41" s="136">
        <f>('User Volumes'!B18*(Inputs!X$40))*$C$18</f>
        <v>2300442.3516707132</v>
      </c>
      <c r="E41" s="136">
        <f>('User Volumes'!C18*(Inputs!Y$40))*$C$18</f>
        <v>2300442.3516707132</v>
      </c>
      <c r="F41" s="1"/>
      <c r="G41" s="27">
        <v>0</v>
      </c>
      <c r="H41" s="27">
        <v>0</v>
      </c>
      <c r="I41" s="27">
        <v>0</v>
      </c>
      <c r="J41" s="27">
        <v>0</v>
      </c>
      <c r="K41" s="27">
        <v>0</v>
      </c>
      <c r="L41" s="27">
        <v>0</v>
      </c>
      <c r="M41" s="27">
        <v>0</v>
      </c>
      <c r="N41" s="27">
        <v>0</v>
      </c>
      <c r="O41" s="19">
        <f>IFERROR(VLOOKUP($A41,'Parameter Values'!$A$78:$E$107,2,FALSE),'Parameter Values'!B$107)</f>
        <v>22900</v>
      </c>
      <c r="P41" s="19">
        <f>IFERROR(VLOOKUP($A41,'Parameter Values'!$A$78:$E$107,3,FALSE),'Parameter Values'!C$107)</f>
        <v>63700</v>
      </c>
      <c r="Q41" s="19">
        <f>IFERROR(VLOOKUP($A41,'Parameter Values'!$A$78:$E$107,4,FALSE),'Parameter Values'!D$107)</f>
        <v>1108000</v>
      </c>
      <c r="R41" s="19">
        <f>IFERROR(VLOOKUP($A41,'Parameter Values'!$A$78:$E$107,5,FALSE),'Parameter Values'!E$107)</f>
        <v>310</v>
      </c>
      <c r="S41" s="19">
        <f t="shared" si="0"/>
        <v>0</v>
      </c>
      <c r="T41" s="18">
        <f t="shared" si="1"/>
        <v>0</v>
      </c>
      <c r="AA41" s="13"/>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s="14"/>
    </row>
    <row r="42" spans="1:74" x14ac:dyDescent="0.35">
      <c r="A42" s="1">
        <f>IF(A41&lt;'Project Information'!B$11,A41+1,"")</f>
        <v>2041</v>
      </c>
      <c r="B42" s="136">
        <f>('User Volumes'!B19*(Inputs!X$40))*$B$18</f>
        <v>259967.2822978257</v>
      </c>
      <c r="C42" s="136">
        <f>('User Volumes'!C19*(Inputs!Y$40))*$B$18</f>
        <v>259967.2822978257</v>
      </c>
      <c r="D42" s="136">
        <f>('User Volumes'!B19*(Inputs!X$40))*$C$18</f>
        <v>2305043.236374055</v>
      </c>
      <c r="E42" s="136">
        <f>('User Volumes'!C19*(Inputs!Y$40))*$C$18</f>
        <v>2305043.236374055</v>
      </c>
      <c r="F42" s="1"/>
      <c r="G42" s="27">
        <v>0</v>
      </c>
      <c r="H42" s="27">
        <v>0</v>
      </c>
      <c r="I42" s="27">
        <v>0</v>
      </c>
      <c r="J42" s="27">
        <v>0</v>
      </c>
      <c r="K42" s="27">
        <v>0</v>
      </c>
      <c r="L42" s="27">
        <v>0</v>
      </c>
      <c r="M42" s="27">
        <v>0</v>
      </c>
      <c r="N42" s="27">
        <v>0</v>
      </c>
      <c r="O42" s="19">
        <f>IFERROR(VLOOKUP($A42,'Parameter Values'!$A$78:$E$107,2,FALSE),'Parameter Values'!B$107)</f>
        <v>22900</v>
      </c>
      <c r="P42" s="19">
        <f>IFERROR(VLOOKUP($A42,'Parameter Values'!$A$78:$E$107,3,FALSE),'Parameter Values'!C$107)</f>
        <v>63700</v>
      </c>
      <c r="Q42" s="19">
        <f>IFERROR(VLOOKUP($A42,'Parameter Values'!$A$78:$E$107,4,FALSE),'Parameter Values'!D$107)</f>
        <v>1108000</v>
      </c>
      <c r="R42" s="19">
        <f>IFERROR(VLOOKUP($A42,'Parameter Values'!$A$78:$E$107,5,FALSE),'Parameter Values'!E$107)</f>
        <v>314</v>
      </c>
      <c r="S42" s="19">
        <f t="shared" si="0"/>
        <v>0</v>
      </c>
      <c r="T42" s="18">
        <f t="shared" si="1"/>
        <v>0</v>
      </c>
      <c r="AA42" s="13"/>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s="14"/>
    </row>
    <row r="43" spans="1:74" x14ac:dyDescent="0.35">
      <c r="A43" s="1">
        <f>IF(A42&lt;'Project Information'!B$11,A42+1,"")</f>
        <v>2042</v>
      </c>
      <c r="B43" s="136">
        <f>('User Volumes'!B20*(Inputs!X$40))*$B$18</f>
        <v>260487.21686242137</v>
      </c>
      <c r="C43" s="136">
        <f>('User Volumes'!C20*(Inputs!Y$40))*$B$18</f>
        <v>260487.21686242137</v>
      </c>
      <c r="D43" s="136">
        <f>('User Volumes'!B20*(Inputs!X$40))*$C$18</f>
        <v>2309653.3228468029</v>
      </c>
      <c r="E43" s="136">
        <f>('User Volumes'!C20*(Inputs!Y$40))*$C$18</f>
        <v>2309653.3228468029</v>
      </c>
      <c r="F43" s="1"/>
      <c r="G43" s="27">
        <v>0</v>
      </c>
      <c r="H43" s="27">
        <v>0</v>
      </c>
      <c r="I43" s="27">
        <v>0</v>
      </c>
      <c r="J43" s="27">
        <v>0</v>
      </c>
      <c r="K43" s="27">
        <v>0</v>
      </c>
      <c r="L43" s="27">
        <v>0</v>
      </c>
      <c r="M43" s="27">
        <v>0</v>
      </c>
      <c r="N43" s="27">
        <v>0</v>
      </c>
      <c r="O43" s="19">
        <f>IFERROR(VLOOKUP($A43,'Parameter Values'!$A$78:$E$107,2,FALSE),'Parameter Values'!B$107)</f>
        <v>22900</v>
      </c>
      <c r="P43" s="19">
        <f>IFERROR(VLOOKUP($A43,'Parameter Values'!$A$78:$E$107,3,FALSE),'Parameter Values'!C$107)</f>
        <v>63700</v>
      </c>
      <c r="Q43" s="19">
        <f>IFERROR(VLOOKUP($A43,'Parameter Values'!$A$78:$E$107,4,FALSE),'Parameter Values'!D$107)</f>
        <v>1108000</v>
      </c>
      <c r="R43" s="19">
        <f>IFERROR(VLOOKUP($A43,'Parameter Values'!$A$78:$E$107,5,FALSE),'Parameter Values'!E$107)</f>
        <v>319</v>
      </c>
      <c r="S43" s="19">
        <f t="shared" si="0"/>
        <v>0</v>
      </c>
      <c r="T43" s="18">
        <f t="shared" si="1"/>
        <v>0</v>
      </c>
      <c r="AA43" s="1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s="14"/>
    </row>
    <row r="44" spans="1:74" x14ac:dyDescent="0.35">
      <c r="A44" s="1">
        <f>IF(A43&lt;'Project Information'!B$11,A43+1,"")</f>
        <v>2043</v>
      </c>
      <c r="B44" s="136">
        <f>('User Volumes'!B21*(Inputs!X$40))*$B$18</f>
        <v>261008.19129614619</v>
      </c>
      <c r="C44" s="136">
        <f>('User Volumes'!C21*(Inputs!Y$40))*$B$18</f>
        <v>261008.19129614619</v>
      </c>
      <c r="D44" s="136">
        <f>('User Volumes'!B21*(Inputs!X$40))*$C$18</f>
        <v>2314272.6294924966</v>
      </c>
      <c r="E44" s="136">
        <f>('User Volumes'!C21*(Inputs!Y$40))*$C$18</f>
        <v>2314272.6294924966</v>
      </c>
      <c r="F44" s="1"/>
      <c r="G44" s="27">
        <v>0</v>
      </c>
      <c r="H44" s="27">
        <v>0</v>
      </c>
      <c r="I44" s="27">
        <v>0</v>
      </c>
      <c r="J44" s="27">
        <v>0</v>
      </c>
      <c r="K44" s="27">
        <v>0</v>
      </c>
      <c r="L44" s="27">
        <v>0</v>
      </c>
      <c r="M44" s="27">
        <v>0</v>
      </c>
      <c r="N44" s="27">
        <v>0</v>
      </c>
      <c r="O44" s="19">
        <f>IFERROR(VLOOKUP($A44,'Parameter Values'!$A$78:$E$107,2,FALSE),'Parameter Values'!B$107)</f>
        <v>22900</v>
      </c>
      <c r="P44" s="19">
        <f>IFERROR(VLOOKUP($A44,'Parameter Values'!$A$78:$E$107,3,FALSE),'Parameter Values'!C$107)</f>
        <v>63700</v>
      </c>
      <c r="Q44" s="19">
        <f>IFERROR(VLOOKUP($A44,'Parameter Values'!$A$78:$E$107,4,FALSE),'Parameter Values'!D$107)</f>
        <v>1108000</v>
      </c>
      <c r="R44" s="19">
        <f>IFERROR(VLOOKUP($A44,'Parameter Values'!$A$78:$E$107,5,FALSE),'Parameter Values'!E$107)</f>
        <v>324</v>
      </c>
      <c r="S44" s="19">
        <f t="shared" si="0"/>
        <v>0</v>
      </c>
      <c r="T44" s="18">
        <f t="shared" si="1"/>
        <v>0</v>
      </c>
      <c r="AA44" s="13"/>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s="14"/>
    </row>
    <row r="45" spans="1:74" x14ac:dyDescent="0.35">
      <c r="A45" s="1">
        <f>IF(A44&lt;'Project Information'!B$11,A44+1,"")</f>
        <v>2044</v>
      </c>
      <c r="B45" s="136">
        <f>('User Volumes'!B22*(Inputs!X$40))*$B$18</f>
        <v>261530.20767873852</v>
      </c>
      <c r="C45" s="136">
        <f>('User Volumes'!C22*(Inputs!Y$40))*$B$18</f>
        <v>261530.20767873852</v>
      </c>
      <c r="D45" s="136">
        <f>('User Volumes'!B22*(Inputs!X$40))*$C$18</f>
        <v>2318901.1747514815</v>
      </c>
      <c r="E45" s="136">
        <f>('User Volumes'!C22*(Inputs!Y$40))*$C$18</f>
        <v>2318901.1747514815</v>
      </c>
      <c r="F45" s="1"/>
      <c r="G45" s="27">
        <v>0</v>
      </c>
      <c r="H45" s="27">
        <v>0</v>
      </c>
      <c r="I45" s="27">
        <v>0</v>
      </c>
      <c r="J45" s="27">
        <v>0</v>
      </c>
      <c r="K45" s="27">
        <v>0</v>
      </c>
      <c r="L45" s="27">
        <v>0</v>
      </c>
      <c r="M45" s="27">
        <v>0</v>
      </c>
      <c r="N45" s="27">
        <v>0</v>
      </c>
      <c r="O45" s="19">
        <f>IFERROR(VLOOKUP($A45,'Parameter Values'!$A$78:$E$107,2,FALSE),'Parameter Values'!B$107)</f>
        <v>22900</v>
      </c>
      <c r="P45" s="19">
        <f>IFERROR(VLOOKUP($A45,'Parameter Values'!$A$78:$E$107,3,FALSE),'Parameter Values'!C$107)</f>
        <v>63700</v>
      </c>
      <c r="Q45" s="19">
        <f>IFERROR(VLOOKUP($A45,'Parameter Values'!$A$78:$E$107,4,FALSE),'Parameter Values'!D$107)</f>
        <v>1108000</v>
      </c>
      <c r="R45" s="19">
        <f>IFERROR(VLOOKUP($A45,'Parameter Values'!$A$78:$E$107,5,FALSE),'Parameter Values'!E$107)</f>
        <v>328</v>
      </c>
      <c r="S45" s="19">
        <f t="shared" si="0"/>
        <v>0</v>
      </c>
      <c r="T45" s="18">
        <f t="shared" si="1"/>
        <v>0</v>
      </c>
      <c r="AA45" s="1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s="14"/>
    </row>
    <row r="46" spans="1:74" x14ac:dyDescent="0.35">
      <c r="A46" s="1">
        <f>IF(A45&lt;'Project Information'!B$11,A45+1,"")</f>
        <v>2045</v>
      </c>
      <c r="B46" s="136">
        <f>('User Volumes'!B23*(Inputs!X$40))*$B$18</f>
        <v>262053.26809409601</v>
      </c>
      <c r="C46" s="136">
        <f>('User Volumes'!C23*(Inputs!Y$40))*$B$18</f>
        <v>262053.26809409601</v>
      </c>
      <c r="D46" s="136">
        <f>('User Volumes'!B23*(Inputs!X$40))*$C$18</f>
        <v>2323538.9771009851</v>
      </c>
      <c r="E46" s="136">
        <f>('User Volumes'!C23*(Inputs!Y$40))*$C$18</f>
        <v>2323538.9771009851</v>
      </c>
      <c r="F46" s="1"/>
      <c r="G46" s="27">
        <v>0</v>
      </c>
      <c r="H46" s="27">
        <v>0</v>
      </c>
      <c r="I46" s="27">
        <v>0</v>
      </c>
      <c r="J46" s="27">
        <v>0</v>
      </c>
      <c r="K46" s="27">
        <v>0</v>
      </c>
      <c r="L46" s="27">
        <v>0</v>
      </c>
      <c r="M46" s="27">
        <v>0</v>
      </c>
      <c r="N46" s="27">
        <v>0</v>
      </c>
      <c r="O46" s="19">
        <f>IFERROR(VLOOKUP($A46,'Parameter Values'!$A$78:$E$107,2,FALSE),'Parameter Values'!B$107)</f>
        <v>22900</v>
      </c>
      <c r="P46" s="19">
        <f>IFERROR(VLOOKUP($A46,'Parameter Values'!$A$78:$E$107,3,FALSE),'Parameter Values'!C$107)</f>
        <v>63700</v>
      </c>
      <c r="Q46" s="19">
        <f>IFERROR(VLOOKUP($A46,'Parameter Values'!$A$78:$E$107,4,FALSE),'Parameter Values'!D$107)</f>
        <v>1108000</v>
      </c>
      <c r="R46" s="19">
        <f>IFERROR(VLOOKUP($A46,'Parameter Values'!$A$78:$E$107,5,FALSE),'Parameter Values'!E$107)</f>
        <v>333</v>
      </c>
      <c r="S46" s="19">
        <f t="shared" si="0"/>
        <v>0</v>
      </c>
      <c r="T46" s="18">
        <f t="shared" si="1"/>
        <v>0</v>
      </c>
      <c r="AA46" s="1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s="14"/>
    </row>
    <row r="47" spans="1:74" x14ac:dyDescent="0.35">
      <c r="A47" s="1">
        <f>IF(A46&lt;'Project Information'!B$11,A46+1,"")</f>
        <v>2046</v>
      </c>
      <c r="B47" s="136">
        <f>('User Volumes'!B24*(Inputs!X$40))*$B$18</f>
        <v>262577.3746302842</v>
      </c>
      <c r="C47" s="136">
        <f>('User Volumes'!C24*(Inputs!Y$40))*$B$18</f>
        <v>262577.3746302842</v>
      </c>
      <c r="D47" s="136">
        <f>('User Volumes'!B24*(Inputs!X$40))*$C$18</f>
        <v>2328186.0550551871</v>
      </c>
      <c r="E47" s="136">
        <f>('User Volumes'!C24*(Inputs!Y$40))*$C$18</f>
        <v>2328186.0550551871</v>
      </c>
      <c r="F47" s="1"/>
      <c r="G47" s="27">
        <v>0</v>
      </c>
      <c r="H47" s="27">
        <v>0</v>
      </c>
      <c r="I47" s="27">
        <v>0</v>
      </c>
      <c r="J47" s="27">
        <v>0</v>
      </c>
      <c r="K47" s="27">
        <v>0</v>
      </c>
      <c r="L47" s="27">
        <v>0</v>
      </c>
      <c r="M47" s="27">
        <v>0</v>
      </c>
      <c r="N47" s="27">
        <v>0</v>
      </c>
      <c r="O47" s="19">
        <f>IFERROR(VLOOKUP($A47,'Parameter Values'!$A$78:$E$107,2,FALSE),'Parameter Values'!B$107)</f>
        <v>22900</v>
      </c>
      <c r="P47" s="19">
        <f>IFERROR(VLOOKUP($A47,'Parameter Values'!$A$78:$E$107,3,FALSE),'Parameter Values'!C$107)</f>
        <v>63700</v>
      </c>
      <c r="Q47" s="19">
        <f>IFERROR(VLOOKUP($A47,'Parameter Values'!$A$78:$E$107,4,FALSE),'Parameter Values'!D$107)</f>
        <v>1108000</v>
      </c>
      <c r="R47" s="19">
        <f>IFERROR(VLOOKUP($A47,'Parameter Values'!$A$78:$E$107,5,FALSE),'Parameter Values'!E$107)</f>
        <v>338</v>
      </c>
      <c r="S47" s="19">
        <f t="shared" si="0"/>
        <v>0</v>
      </c>
      <c r="T47" s="18">
        <f t="shared" si="1"/>
        <v>0</v>
      </c>
      <c r="AA47" s="1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s="14"/>
    </row>
    <row r="48" spans="1:74" x14ac:dyDescent="0.35">
      <c r="A48" s="1">
        <f>IF(A47&lt;'Project Information'!B$11,A47+1,"")</f>
        <v>2047</v>
      </c>
      <c r="B48" s="136">
        <f>('User Volumes'!B25*(Inputs!X$40))*$B$18</f>
        <v>263102.52937954478</v>
      </c>
      <c r="C48" s="136">
        <f>('User Volumes'!C25*(Inputs!Y$40))*$B$18</f>
        <v>263102.52937954478</v>
      </c>
      <c r="D48" s="136">
        <f>('User Volumes'!B25*(Inputs!X$40))*$C$18</f>
        <v>2332842.4271652973</v>
      </c>
      <c r="E48" s="136">
        <f>('User Volumes'!C25*(Inputs!Y$40))*$C$18</f>
        <v>2332842.4271652973</v>
      </c>
      <c r="F48" s="1"/>
      <c r="G48" s="27">
        <v>0</v>
      </c>
      <c r="H48" s="27">
        <v>0</v>
      </c>
      <c r="I48" s="27">
        <v>0</v>
      </c>
      <c r="J48" s="27">
        <v>0</v>
      </c>
      <c r="K48" s="27">
        <v>0</v>
      </c>
      <c r="L48" s="27">
        <v>0</v>
      </c>
      <c r="M48" s="27">
        <v>0</v>
      </c>
      <c r="N48" s="27">
        <v>0</v>
      </c>
      <c r="O48" s="19">
        <f>IFERROR(VLOOKUP($A48,'Parameter Values'!$A$78:$E$107,2,FALSE),'Parameter Values'!B$107)</f>
        <v>22900</v>
      </c>
      <c r="P48" s="19">
        <f>IFERROR(VLOOKUP($A48,'Parameter Values'!$A$78:$E$107,3,FALSE),'Parameter Values'!C$107)</f>
        <v>63700</v>
      </c>
      <c r="Q48" s="19">
        <f>IFERROR(VLOOKUP($A48,'Parameter Values'!$A$78:$E$107,4,FALSE),'Parameter Values'!D$107)</f>
        <v>1108000</v>
      </c>
      <c r="R48" s="19">
        <f>IFERROR(VLOOKUP($A48,'Parameter Values'!$A$78:$E$107,5,FALSE),'Parameter Values'!E$107)</f>
        <v>344</v>
      </c>
      <c r="S48" s="19">
        <f t="shared" si="0"/>
        <v>0</v>
      </c>
      <c r="T48" s="18">
        <f t="shared" si="1"/>
        <v>0</v>
      </c>
      <c r="AA48" s="1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s="14"/>
    </row>
    <row r="49" spans="1:74" x14ac:dyDescent="0.35">
      <c r="A49" s="1">
        <f>IF(A48&lt;'Project Information'!B$11,A48+1,"")</f>
        <v>2048</v>
      </c>
      <c r="B49" s="136">
        <f>('User Volumes'!B26*(Inputs!X$40))*$B$18</f>
        <v>263628.73443830386</v>
      </c>
      <c r="C49" s="136">
        <f>('User Volumes'!C26*(Inputs!Y$40))*$B$18</f>
        <v>263628.73443830386</v>
      </c>
      <c r="D49" s="136">
        <f>('User Volumes'!B26*(Inputs!X$40))*$C$18</f>
        <v>2337508.1120196278</v>
      </c>
      <c r="E49" s="136">
        <f>('User Volumes'!C26*(Inputs!Y$40))*$C$18</f>
        <v>2337508.1120196278</v>
      </c>
      <c r="F49" s="1"/>
      <c r="G49" s="27">
        <v>0</v>
      </c>
      <c r="H49" s="27">
        <v>0</v>
      </c>
      <c r="I49" s="27">
        <v>0</v>
      </c>
      <c r="J49" s="27">
        <v>0</v>
      </c>
      <c r="K49" s="27">
        <v>0</v>
      </c>
      <c r="L49" s="27">
        <v>0</v>
      </c>
      <c r="M49" s="27">
        <v>0</v>
      </c>
      <c r="N49" s="27">
        <v>0</v>
      </c>
      <c r="O49" s="19">
        <f>IFERROR(VLOOKUP($A49,'Parameter Values'!$A$78:$E$107,2,FALSE),'Parameter Values'!B$107)</f>
        <v>22900</v>
      </c>
      <c r="P49" s="19">
        <f>IFERROR(VLOOKUP($A49,'Parameter Values'!$A$78:$E$107,3,FALSE),'Parameter Values'!C$107)</f>
        <v>63700</v>
      </c>
      <c r="Q49" s="19">
        <f>IFERROR(VLOOKUP($A49,'Parameter Values'!$A$78:$E$107,4,FALSE),'Parameter Values'!D$107)</f>
        <v>1108000</v>
      </c>
      <c r="R49" s="19">
        <f>IFERROR(VLOOKUP($A49,'Parameter Values'!$A$78:$E$107,5,FALSE),'Parameter Values'!E$107)</f>
        <v>348</v>
      </c>
      <c r="S49" s="19">
        <f t="shared" si="0"/>
        <v>0</v>
      </c>
      <c r="T49" s="18">
        <f t="shared" si="1"/>
        <v>0</v>
      </c>
      <c r="AA49" s="1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s="14"/>
    </row>
    <row r="50" spans="1:74" x14ac:dyDescent="0.35">
      <c r="A50" s="1">
        <f>IF(A49&lt;'Project Information'!B$11,A49+1,"")</f>
        <v>2049</v>
      </c>
      <c r="B50" s="136">
        <f>('User Volumes'!B27*(Inputs!X$40))*$B$18</f>
        <v>264155.99190718052</v>
      </c>
      <c r="C50" s="136">
        <f>('User Volumes'!C27*(Inputs!Y$40))*$B$18</f>
        <v>264155.99190718052</v>
      </c>
      <c r="D50" s="136">
        <f>('User Volumes'!B27*(Inputs!X$40))*$C$18</f>
        <v>2342183.1282436675</v>
      </c>
      <c r="E50" s="136">
        <f>('User Volumes'!C27*(Inputs!Y$40))*$C$18</f>
        <v>2342183.1282436675</v>
      </c>
      <c r="F50" s="1"/>
      <c r="G50" s="27">
        <v>0</v>
      </c>
      <c r="H50" s="27">
        <v>0</v>
      </c>
      <c r="I50" s="27">
        <v>0</v>
      </c>
      <c r="J50" s="27">
        <v>0</v>
      </c>
      <c r="K50" s="27">
        <v>0</v>
      </c>
      <c r="L50" s="27">
        <v>0</v>
      </c>
      <c r="M50" s="27">
        <v>0</v>
      </c>
      <c r="N50" s="27">
        <v>0</v>
      </c>
      <c r="O50" s="19">
        <f>IFERROR(VLOOKUP($A50,'Parameter Values'!$A$78:$E$107,2,FALSE),'Parameter Values'!B$107)</f>
        <v>22900</v>
      </c>
      <c r="P50" s="19">
        <f>IFERROR(VLOOKUP($A50,'Parameter Values'!$A$78:$E$107,3,FALSE),'Parameter Values'!C$107)</f>
        <v>63700</v>
      </c>
      <c r="Q50" s="19">
        <f>IFERROR(VLOOKUP($A50,'Parameter Values'!$A$78:$E$107,4,FALSE),'Parameter Values'!D$107)</f>
        <v>1108000</v>
      </c>
      <c r="R50" s="19">
        <f>IFERROR(VLOOKUP($A50,'Parameter Values'!$A$78:$E$107,5,FALSE),'Parameter Values'!E$107)</f>
        <v>353</v>
      </c>
      <c r="S50" s="19">
        <f t="shared" si="0"/>
        <v>0</v>
      </c>
      <c r="T50" s="18">
        <f t="shared" si="1"/>
        <v>0</v>
      </c>
      <c r="AA50" s="1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s="14"/>
    </row>
    <row r="51" spans="1:74" x14ac:dyDescent="0.35">
      <c r="A51" s="1">
        <f>IF(A50&lt;'Project Information'!B$11,A50+1,"")</f>
        <v>2050</v>
      </c>
      <c r="B51" s="136">
        <f>('User Volumes'!B28*(Inputs!X$40))*$B$18</f>
        <v>264684.30389099481</v>
      </c>
      <c r="C51" s="136">
        <f>('User Volumes'!C28*(Inputs!Y$40))*$B$18</f>
        <v>264684.30389099481</v>
      </c>
      <c r="D51" s="136">
        <f>('User Volumes'!B28*(Inputs!X$40))*$C$18</f>
        <v>2346867.4945001546</v>
      </c>
      <c r="E51" s="136">
        <f>('User Volumes'!C28*(Inputs!Y$40))*$C$18</f>
        <v>2346867.4945001546</v>
      </c>
      <c r="F51" s="1"/>
      <c r="G51" s="27">
        <v>0</v>
      </c>
      <c r="H51" s="27">
        <v>0</v>
      </c>
      <c r="I51" s="27">
        <v>0</v>
      </c>
      <c r="J51" s="27">
        <v>0</v>
      </c>
      <c r="K51" s="27">
        <v>0</v>
      </c>
      <c r="L51" s="27">
        <v>0</v>
      </c>
      <c r="M51" s="27">
        <v>0</v>
      </c>
      <c r="N51" s="27">
        <v>0</v>
      </c>
      <c r="O51" s="19">
        <f>IFERROR(VLOOKUP($A51,'Parameter Values'!$A$78:$E$107,2,FALSE),'Parameter Values'!B$107)</f>
        <v>22900</v>
      </c>
      <c r="P51" s="19">
        <f>IFERROR(VLOOKUP($A51,'Parameter Values'!$A$78:$E$107,3,FALSE),'Parameter Values'!C$107)</f>
        <v>63700</v>
      </c>
      <c r="Q51" s="19">
        <f>IFERROR(VLOOKUP($A51,'Parameter Values'!$A$78:$E$107,4,FALSE),'Parameter Values'!D$107)</f>
        <v>1108000</v>
      </c>
      <c r="R51" s="19">
        <f>IFERROR(VLOOKUP($A51,'Parameter Values'!$A$78:$E$107,5,FALSE),'Parameter Values'!E$107)</f>
        <v>357</v>
      </c>
      <c r="S51" s="19">
        <f t="shared" si="0"/>
        <v>0</v>
      </c>
      <c r="T51" s="18">
        <f t="shared" si="1"/>
        <v>0</v>
      </c>
      <c r="AA51" s="13"/>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s="14"/>
    </row>
    <row r="52" spans="1:74" x14ac:dyDescent="0.35">
      <c r="A52" s="1">
        <f>IF(A51&lt;'Project Information'!B$11,A51+1,"")</f>
        <v>2051</v>
      </c>
      <c r="B52" s="136">
        <f>('User Volumes'!B29*(Inputs!X$40))*$B$18</f>
        <v>265213.67249877687</v>
      </c>
      <c r="C52" s="136">
        <f>('User Volumes'!C29*(Inputs!Y$40))*$B$18</f>
        <v>265213.67249877687</v>
      </c>
      <c r="D52" s="136">
        <f>('User Volumes'!B29*(Inputs!X$40))*$C$18</f>
        <v>2351561.2294891551</v>
      </c>
      <c r="E52" s="136">
        <f>('User Volumes'!C29*(Inputs!Y$40))*$C$18</f>
        <v>2351561.2294891551</v>
      </c>
      <c r="F52" s="1"/>
      <c r="G52" s="27">
        <v>0</v>
      </c>
      <c r="H52" s="27">
        <v>0</v>
      </c>
      <c r="I52" s="27">
        <v>0</v>
      </c>
      <c r="J52" s="27">
        <v>0</v>
      </c>
      <c r="K52" s="27">
        <v>0</v>
      </c>
      <c r="L52" s="27">
        <v>0</v>
      </c>
      <c r="M52" s="27">
        <v>0</v>
      </c>
      <c r="N52" s="27">
        <v>0</v>
      </c>
      <c r="O52" s="19">
        <f>IFERROR(VLOOKUP($A52,'Parameter Values'!$A$78:$E$107,2,FALSE),'Parameter Values'!B$107)</f>
        <v>22900</v>
      </c>
      <c r="P52" s="19">
        <f>IFERROR(VLOOKUP($A52,'Parameter Values'!$A$78:$E$107,3,FALSE),'Parameter Values'!C$107)</f>
        <v>63700</v>
      </c>
      <c r="Q52" s="19">
        <f>IFERROR(VLOOKUP($A52,'Parameter Values'!$A$78:$E$107,4,FALSE),'Parameter Values'!D$107)</f>
        <v>1108000</v>
      </c>
      <c r="R52" s="19">
        <f>IFERROR(VLOOKUP($A52,'Parameter Values'!$A$78:$E$107,5,FALSE),'Parameter Values'!E$107)</f>
        <v>362</v>
      </c>
      <c r="S52" s="19">
        <f t="shared" si="0"/>
        <v>0</v>
      </c>
      <c r="T52" s="18">
        <f t="shared" si="1"/>
        <v>0</v>
      </c>
      <c r="AA52" s="13"/>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s="14"/>
    </row>
    <row r="53" spans="1:74" x14ac:dyDescent="0.35">
      <c r="A53" s="1" t="str">
        <f>IF(A52&lt;'Project Information'!B$11,A52+1,"")</f>
        <v/>
      </c>
      <c r="B53" s="136">
        <v>0</v>
      </c>
      <c r="C53" s="136">
        <v>0</v>
      </c>
      <c r="D53" s="136">
        <v>0</v>
      </c>
      <c r="E53" s="137">
        <v>0</v>
      </c>
      <c r="F53" s="1"/>
      <c r="G53" s="27">
        <v>0</v>
      </c>
      <c r="H53" s="27">
        <v>0</v>
      </c>
      <c r="I53" s="27">
        <v>0</v>
      </c>
      <c r="J53" s="27">
        <v>0</v>
      </c>
      <c r="K53" s="27">
        <v>0</v>
      </c>
      <c r="L53" s="27">
        <v>0</v>
      </c>
      <c r="M53" s="27">
        <v>0</v>
      </c>
      <c r="N53" s="27">
        <v>0</v>
      </c>
      <c r="O53" s="19">
        <f>IFERROR(VLOOKUP($A53,'Parameter Values'!$A$78:$E$107,2,FALSE),'Parameter Values'!B$107)</f>
        <v>22900</v>
      </c>
      <c r="P53" s="19">
        <f>IFERROR(VLOOKUP($A53,'Parameter Values'!$A$78:$E$107,3,FALSE),'Parameter Values'!C$107)</f>
        <v>63700</v>
      </c>
      <c r="Q53" s="19">
        <f>IFERROR(VLOOKUP($A53,'Parameter Values'!$A$78:$E$107,4,FALSE),'Parameter Values'!D$107)</f>
        <v>1108000</v>
      </c>
      <c r="R53" s="19">
        <f>IFERROR(VLOOKUP($A53,'Parameter Values'!$A$78:$E$107,5,FALSE),'Parameter Values'!E$107)</f>
        <v>366</v>
      </c>
      <c r="S53" s="19">
        <f t="shared" si="0"/>
        <v>0</v>
      </c>
      <c r="T53" s="18">
        <f t="shared" si="1"/>
        <v>0</v>
      </c>
      <c r="AA53" s="1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s="14"/>
    </row>
    <row r="54" spans="1:74" x14ac:dyDescent="0.35">
      <c r="A54" s="1" t="str">
        <f>IF(A53&lt;'Project Information'!B$11,A53+1,"")</f>
        <v/>
      </c>
      <c r="B54" s="136">
        <v>0</v>
      </c>
      <c r="C54" s="136">
        <v>0</v>
      </c>
      <c r="D54" s="136">
        <v>0</v>
      </c>
      <c r="E54" s="137">
        <v>0</v>
      </c>
      <c r="F54" s="1"/>
      <c r="G54" s="27">
        <v>0</v>
      </c>
      <c r="H54" s="27">
        <v>0</v>
      </c>
      <c r="I54" s="27">
        <v>0</v>
      </c>
      <c r="J54" s="27">
        <v>0</v>
      </c>
      <c r="K54" s="27">
        <v>0</v>
      </c>
      <c r="L54" s="27">
        <v>0</v>
      </c>
      <c r="M54" s="27">
        <v>0</v>
      </c>
      <c r="N54" s="27">
        <v>0</v>
      </c>
      <c r="O54" s="19">
        <f>IFERROR(VLOOKUP($A54,'Parameter Values'!$A$78:$E$107,2,FALSE),'Parameter Values'!B$107)</f>
        <v>22900</v>
      </c>
      <c r="P54" s="19">
        <f>IFERROR(VLOOKUP($A54,'Parameter Values'!$A$78:$E$107,3,FALSE),'Parameter Values'!C$107)</f>
        <v>63700</v>
      </c>
      <c r="Q54" s="19">
        <f>IFERROR(VLOOKUP($A54,'Parameter Values'!$A$78:$E$107,4,FALSE),'Parameter Values'!D$107)</f>
        <v>1108000</v>
      </c>
      <c r="R54" s="19">
        <f>IFERROR(VLOOKUP($A54,'Parameter Values'!$A$78:$E$107,5,FALSE),'Parameter Values'!E$107)</f>
        <v>366</v>
      </c>
      <c r="S54" s="19">
        <f t="shared" si="0"/>
        <v>0</v>
      </c>
      <c r="T54" s="18">
        <f t="shared" si="1"/>
        <v>0</v>
      </c>
      <c r="AA54" s="13"/>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s="14"/>
    </row>
    <row r="55" spans="1:74" x14ac:dyDescent="0.35">
      <c r="A55" s="1" t="str">
        <f>IF(A54&lt;'Project Information'!B$11,A54+1,"")</f>
        <v/>
      </c>
      <c r="B55" s="136">
        <v>0</v>
      </c>
      <c r="C55" s="136">
        <v>0</v>
      </c>
      <c r="D55" s="136">
        <v>0</v>
      </c>
      <c r="E55" s="137">
        <v>0</v>
      </c>
      <c r="F55" s="1"/>
      <c r="G55" s="27">
        <v>0</v>
      </c>
      <c r="H55" s="27">
        <v>0</v>
      </c>
      <c r="I55" s="27">
        <v>0</v>
      </c>
      <c r="J55" s="27">
        <v>0</v>
      </c>
      <c r="K55" s="27">
        <v>0</v>
      </c>
      <c r="L55" s="27">
        <v>0</v>
      </c>
      <c r="M55" s="27">
        <v>0</v>
      </c>
      <c r="N55" s="27">
        <v>0</v>
      </c>
      <c r="O55" s="19">
        <f>IFERROR(VLOOKUP($A55,'Parameter Values'!$A$78:$E$107,2,FALSE),'Parameter Values'!B$107)</f>
        <v>22900</v>
      </c>
      <c r="P55" s="19">
        <f>IFERROR(VLOOKUP($A55,'Parameter Values'!$A$78:$E$107,3,FALSE),'Parameter Values'!C$107)</f>
        <v>63700</v>
      </c>
      <c r="Q55" s="19">
        <f>IFERROR(VLOOKUP($A55,'Parameter Values'!$A$78:$E$107,4,FALSE),'Parameter Values'!D$107)</f>
        <v>1108000</v>
      </c>
      <c r="R55" s="19">
        <f>IFERROR(VLOOKUP($A55,'Parameter Values'!$A$78:$E$107,5,FALSE),'Parameter Values'!E$107)</f>
        <v>366</v>
      </c>
      <c r="S55" s="19">
        <f t="shared" si="0"/>
        <v>0</v>
      </c>
      <c r="T55" s="18">
        <f t="shared" si="1"/>
        <v>0</v>
      </c>
      <c r="AA55" s="13"/>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s="14"/>
    </row>
    <row r="56" spans="1:74" x14ac:dyDescent="0.35">
      <c r="A56" s="1" t="str">
        <f>IF(A55&lt;'Project Information'!B$11,A55+1,"")</f>
        <v/>
      </c>
      <c r="B56" s="136">
        <v>0</v>
      </c>
      <c r="C56" s="136">
        <v>0</v>
      </c>
      <c r="D56" s="136">
        <v>0</v>
      </c>
      <c r="E56" s="137">
        <v>0</v>
      </c>
      <c r="F56" s="1"/>
      <c r="G56" s="27">
        <v>0</v>
      </c>
      <c r="H56" s="27">
        <v>0</v>
      </c>
      <c r="I56" s="27">
        <v>0</v>
      </c>
      <c r="J56" s="27">
        <v>0</v>
      </c>
      <c r="K56" s="27">
        <v>0</v>
      </c>
      <c r="L56" s="27">
        <v>0</v>
      </c>
      <c r="M56" s="27">
        <v>0</v>
      </c>
      <c r="N56" s="27">
        <v>0</v>
      </c>
      <c r="O56" s="19">
        <f>IFERROR(VLOOKUP($A56,'Parameter Values'!$A$78:$E$107,2,FALSE),'Parameter Values'!B$107)</f>
        <v>22900</v>
      </c>
      <c r="P56" s="19">
        <f>IFERROR(VLOOKUP($A56,'Parameter Values'!$A$78:$E$107,3,FALSE),'Parameter Values'!C$107)</f>
        <v>63700</v>
      </c>
      <c r="Q56" s="19">
        <f>IFERROR(VLOOKUP($A56,'Parameter Values'!$A$78:$E$107,4,FALSE),'Parameter Values'!D$107)</f>
        <v>1108000</v>
      </c>
      <c r="R56" s="19">
        <f>IFERROR(VLOOKUP($A56,'Parameter Values'!$A$78:$E$107,5,FALSE),'Parameter Values'!E$107)</f>
        <v>366</v>
      </c>
      <c r="S56" s="19">
        <f t="shared" si="0"/>
        <v>0</v>
      </c>
      <c r="T56" s="18">
        <f t="shared" si="1"/>
        <v>0</v>
      </c>
      <c r="AA56" s="13"/>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s="14"/>
    </row>
    <row r="57" spans="1:74" x14ac:dyDescent="0.35">
      <c r="A57" s="1" t="str">
        <f>IF(A56&lt;'Project Information'!B$11,A56+1,"")</f>
        <v/>
      </c>
      <c r="B57" s="136">
        <v>0</v>
      </c>
      <c r="C57" s="136">
        <v>0</v>
      </c>
      <c r="D57" s="136">
        <v>0</v>
      </c>
      <c r="E57" s="137">
        <v>0</v>
      </c>
      <c r="F57" s="1"/>
      <c r="G57" s="27">
        <v>0</v>
      </c>
      <c r="H57" s="27">
        <v>0</v>
      </c>
      <c r="I57" s="27">
        <v>0</v>
      </c>
      <c r="J57" s="27">
        <v>0</v>
      </c>
      <c r="K57" s="27">
        <v>0</v>
      </c>
      <c r="L57" s="27">
        <v>0</v>
      </c>
      <c r="M57" s="27">
        <v>0</v>
      </c>
      <c r="N57" s="27">
        <v>0</v>
      </c>
      <c r="O57" s="19">
        <f>IFERROR(VLOOKUP($A57,'Parameter Values'!$A$78:$E$107,2,FALSE),'Parameter Values'!B$107)</f>
        <v>22900</v>
      </c>
      <c r="P57" s="19">
        <f>IFERROR(VLOOKUP($A57,'Parameter Values'!$A$78:$E$107,3,FALSE),'Parameter Values'!C$107)</f>
        <v>63700</v>
      </c>
      <c r="Q57" s="19">
        <f>IFERROR(VLOOKUP($A57,'Parameter Values'!$A$78:$E$107,4,FALSE),'Parameter Values'!D$107)</f>
        <v>1108000</v>
      </c>
      <c r="R57" s="19">
        <f>IFERROR(VLOOKUP($A57,'Parameter Values'!$A$78:$E$107,5,FALSE),'Parameter Values'!E$107)</f>
        <v>366</v>
      </c>
      <c r="S57" s="19">
        <f t="shared" si="0"/>
        <v>0</v>
      </c>
      <c r="T57" s="18">
        <f t="shared" si="1"/>
        <v>0</v>
      </c>
      <c r="AA57" s="13"/>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s="14"/>
    </row>
    <row r="58" spans="1:74" x14ac:dyDescent="0.35">
      <c r="A58" s="1" t="str">
        <f>IF(A57&lt;'Project Information'!B$11,A57+1,"")</f>
        <v/>
      </c>
      <c r="B58" s="136">
        <v>0</v>
      </c>
      <c r="C58" s="136">
        <v>0</v>
      </c>
      <c r="D58" s="136">
        <v>0</v>
      </c>
      <c r="E58" s="137">
        <v>0</v>
      </c>
      <c r="F58" s="1"/>
      <c r="G58" s="27">
        <v>0</v>
      </c>
      <c r="H58" s="27">
        <v>0</v>
      </c>
      <c r="I58" s="27">
        <v>0</v>
      </c>
      <c r="J58" s="27">
        <v>0</v>
      </c>
      <c r="K58" s="27">
        <v>0</v>
      </c>
      <c r="L58" s="27">
        <v>0</v>
      </c>
      <c r="M58" s="27">
        <v>0</v>
      </c>
      <c r="N58" s="27">
        <v>0</v>
      </c>
      <c r="O58" s="19">
        <f>IFERROR(VLOOKUP($A58,'Parameter Values'!$A$78:$E$107,2,FALSE),'Parameter Values'!B$107)</f>
        <v>22900</v>
      </c>
      <c r="P58" s="19">
        <f>IFERROR(VLOOKUP($A58,'Parameter Values'!$A$78:$E$107,3,FALSE),'Parameter Values'!C$107)</f>
        <v>63700</v>
      </c>
      <c r="Q58" s="19">
        <f>IFERROR(VLOOKUP($A58,'Parameter Values'!$A$78:$E$107,4,FALSE),'Parameter Values'!D$107)</f>
        <v>1108000</v>
      </c>
      <c r="R58" s="19">
        <f>IFERROR(VLOOKUP($A58,'Parameter Values'!$A$78:$E$107,5,FALSE),'Parameter Values'!E$107)</f>
        <v>366</v>
      </c>
      <c r="S58" s="19">
        <f t="shared" si="0"/>
        <v>0</v>
      </c>
      <c r="T58" s="18">
        <f t="shared" si="1"/>
        <v>0</v>
      </c>
      <c r="AA58" s="13"/>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s="14"/>
    </row>
    <row r="59" spans="1:74" x14ac:dyDescent="0.35">
      <c r="A59" s="1" t="str">
        <f>IF(A58&lt;'Project Information'!B$11,A58+1,"")</f>
        <v/>
      </c>
      <c r="B59" s="136">
        <v>0</v>
      </c>
      <c r="C59" s="136">
        <v>0</v>
      </c>
      <c r="D59" s="136">
        <v>0</v>
      </c>
      <c r="E59" s="137">
        <v>0</v>
      </c>
      <c r="F59" s="1"/>
      <c r="G59" s="27">
        <v>0</v>
      </c>
      <c r="H59" s="27">
        <v>0</v>
      </c>
      <c r="I59" s="27">
        <v>0</v>
      </c>
      <c r="J59" s="27">
        <v>0</v>
      </c>
      <c r="K59" s="27">
        <v>0</v>
      </c>
      <c r="L59" s="27">
        <v>0</v>
      </c>
      <c r="M59" s="27">
        <v>0</v>
      </c>
      <c r="N59" s="27">
        <v>0</v>
      </c>
      <c r="O59" s="19">
        <f>IFERROR(VLOOKUP($A59,'Parameter Values'!$A$78:$E$107,2,FALSE),'Parameter Values'!B$107)</f>
        <v>22900</v>
      </c>
      <c r="P59" s="19">
        <f>IFERROR(VLOOKUP($A59,'Parameter Values'!$A$78:$E$107,3,FALSE),'Parameter Values'!C$107)</f>
        <v>63700</v>
      </c>
      <c r="Q59" s="19">
        <f>IFERROR(VLOOKUP($A59,'Parameter Values'!$A$78:$E$107,4,FALSE),'Parameter Values'!D$107)</f>
        <v>1108000</v>
      </c>
      <c r="R59" s="19">
        <f>IFERROR(VLOOKUP($A59,'Parameter Values'!$A$78:$E$107,5,FALSE),'Parameter Values'!E$107)</f>
        <v>366</v>
      </c>
      <c r="S59" s="19">
        <f t="shared" si="0"/>
        <v>0</v>
      </c>
      <c r="T59" s="18">
        <f t="shared" si="1"/>
        <v>0</v>
      </c>
      <c r="AA59" s="13"/>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s="14"/>
    </row>
    <row r="60" spans="1:74" x14ac:dyDescent="0.35">
      <c r="A60" s="1" t="str">
        <f>IF(A59&lt;'Project Information'!B$11,A59+1,"")</f>
        <v/>
      </c>
      <c r="B60" s="136">
        <v>0</v>
      </c>
      <c r="C60" s="136">
        <v>0</v>
      </c>
      <c r="D60" s="136">
        <v>0</v>
      </c>
      <c r="E60" s="137">
        <v>0</v>
      </c>
      <c r="F60" s="1"/>
      <c r="G60" s="27">
        <v>0</v>
      </c>
      <c r="H60" s="27">
        <v>0</v>
      </c>
      <c r="I60" s="27">
        <v>0</v>
      </c>
      <c r="J60" s="27">
        <v>0</v>
      </c>
      <c r="K60" s="27">
        <v>0</v>
      </c>
      <c r="L60" s="27">
        <v>0</v>
      </c>
      <c r="M60" s="27">
        <v>0</v>
      </c>
      <c r="N60" s="27">
        <v>0</v>
      </c>
      <c r="O60" s="19">
        <f>IFERROR(VLOOKUP($A60,'Parameter Values'!$A$78:$E$107,2,FALSE),'Parameter Values'!B$107)</f>
        <v>22900</v>
      </c>
      <c r="P60" s="19">
        <f>IFERROR(VLOOKUP($A60,'Parameter Values'!$A$78:$E$107,3,FALSE),'Parameter Values'!C$107)</f>
        <v>63700</v>
      </c>
      <c r="Q60" s="19">
        <f>IFERROR(VLOOKUP($A60,'Parameter Values'!$A$78:$E$107,4,FALSE),'Parameter Values'!D$107)</f>
        <v>1108000</v>
      </c>
      <c r="R60" s="19">
        <f>IFERROR(VLOOKUP($A60,'Parameter Values'!$A$78:$E$107,5,FALSE),'Parameter Values'!E$107)</f>
        <v>366</v>
      </c>
      <c r="S60" s="19">
        <f t="shared" si="0"/>
        <v>0</v>
      </c>
      <c r="T60" s="18">
        <f t="shared" si="1"/>
        <v>0</v>
      </c>
      <c r="AA60" s="13"/>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s="14"/>
    </row>
    <row r="61" spans="1:74" x14ac:dyDescent="0.35">
      <c r="A61" s="1" t="str">
        <f>IF(A60&lt;'Project Information'!B$11,A60+1,"")</f>
        <v/>
      </c>
      <c r="B61" s="136">
        <v>0</v>
      </c>
      <c r="C61" s="136">
        <v>0</v>
      </c>
      <c r="D61" s="136">
        <v>0</v>
      </c>
      <c r="E61" s="137">
        <v>0</v>
      </c>
      <c r="F61" s="1"/>
      <c r="G61" s="27">
        <v>0</v>
      </c>
      <c r="H61" s="27">
        <v>0</v>
      </c>
      <c r="I61" s="27">
        <v>0</v>
      </c>
      <c r="J61" s="27">
        <v>0</v>
      </c>
      <c r="K61" s="27">
        <v>0</v>
      </c>
      <c r="L61" s="27">
        <v>0</v>
      </c>
      <c r="M61" s="27">
        <v>0</v>
      </c>
      <c r="N61" s="27">
        <v>0</v>
      </c>
      <c r="O61" s="19">
        <f>IFERROR(VLOOKUP($A61,'Parameter Values'!$A$78:$E$107,2,FALSE),'Parameter Values'!B$107)</f>
        <v>22900</v>
      </c>
      <c r="P61" s="19">
        <f>IFERROR(VLOOKUP($A61,'Parameter Values'!$A$78:$E$107,3,FALSE),'Parameter Values'!C$107)</f>
        <v>63700</v>
      </c>
      <c r="Q61" s="19">
        <f>IFERROR(VLOOKUP($A61,'Parameter Values'!$A$78:$E$107,4,FALSE),'Parameter Values'!D$107)</f>
        <v>1108000</v>
      </c>
      <c r="R61" s="19">
        <f>IFERROR(VLOOKUP($A61,'Parameter Values'!$A$78:$E$107,5,FALSE),'Parameter Values'!E$107)</f>
        <v>366</v>
      </c>
      <c r="S61" s="19">
        <f t="shared" si="0"/>
        <v>0</v>
      </c>
      <c r="T61" s="18">
        <f t="shared" si="1"/>
        <v>0</v>
      </c>
      <c r="AA61" s="13"/>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s="14"/>
    </row>
    <row r="62" spans="1:74" x14ac:dyDescent="0.35">
      <c r="A62" s="1" t="str">
        <f>IF(A61&lt;'Project Information'!B$11,A61+1,"")</f>
        <v/>
      </c>
      <c r="B62" s="138">
        <v>0</v>
      </c>
      <c r="C62" s="138">
        <v>0</v>
      </c>
      <c r="D62" s="138">
        <v>0</v>
      </c>
      <c r="E62" s="139">
        <v>0</v>
      </c>
      <c r="F62" s="2"/>
      <c r="G62" s="34">
        <v>0</v>
      </c>
      <c r="H62" s="34">
        <v>0</v>
      </c>
      <c r="I62" s="34">
        <v>0</v>
      </c>
      <c r="J62" s="34">
        <v>0</v>
      </c>
      <c r="K62" s="34">
        <v>0</v>
      </c>
      <c r="L62" s="34">
        <v>0</v>
      </c>
      <c r="M62" s="34">
        <v>0</v>
      </c>
      <c r="N62" s="23">
        <v>0</v>
      </c>
      <c r="O62" s="20">
        <f>IFERROR(VLOOKUP($A62,'Parameter Values'!$A$78:$E$107,2,FALSE),'Parameter Values'!B$107)</f>
        <v>22900</v>
      </c>
      <c r="P62" s="20">
        <f>IFERROR(VLOOKUP($A62,'Parameter Values'!$A$78:$E$107,3,FALSE),'Parameter Values'!C$107)</f>
        <v>63700</v>
      </c>
      <c r="Q62" s="20">
        <f>IFERROR(VLOOKUP($A62,'Parameter Values'!$A$78:$E$107,4,FALSE),'Parameter Values'!D$107)</f>
        <v>1108000</v>
      </c>
      <c r="R62" s="20">
        <f>IFERROR(VLOOKUP($A62,'Parameter Values'!$A$78:$E$107,5,FALSE),'Parameter Values'!E$107)</f>
        <v>366</v>
      </c>
      <c r="S62" s="19">
        <f t="shared" si="0"/>
        <v>0</v>
      </c>
      <c r="T62" s="18">
        <f t="shared" si="1"/>
        <v>0</v>
      </c>
      <c r="AA62" s="13"/>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s="14"/>
    </row>
    <row r="63" spans="1:74" x14ac:dyDescent="0.35">
      <c r="AA63" s="1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s="14"/>
    </row>
    <row r="64" spans="1:74" x14ac:dyDescent="0.35">
      <c r="AA64" s="13"/>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s="14"/>
    </row>
    <row r="65" spans="27:74" x14ac:dyDescent="0.35">
      <c r="AA65" s="13"/>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s="14"/>
    </row>
    <row r="66" spans="27:74" x14ac:dyDescent="0.35">
      <c r="AA66" s="13"/>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s="14"/>
    </row>
    <row r="67" spans="27:74" x14ac:dyDescent="0.35">
      <c r="AA67" s="13"/>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s="14"/>
    </row>
    <row r="68" spans="27:74" x14ac:dyDescent="0.35">
      <c r="AA68" s="13"/>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s="14"/>
    </row>
    <row r="69" spans="27:74" x14ac:dyDescent="0.35">
      <c r="AA69" s="13"/>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s="14"/>
    </row>
    <row r="70" spans="27:74" x14ac:dyDescent="0.35">
      <c r="AA70" s="13"/>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s="14"/>
    </row>
    <row r="71" spans="27:74" x14ac:dyDescent="0.35">
      <c r="AA71" s="13"/>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s="14"/>
    </row>
    <row r="72" spans="27:74" x14ac:dyDescent="0.35">
      <c r="AA72" s="13"/>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s="14"/>
    </row>
    <row r="73" spans="27:74" x14ac:dyDescent="0.35">
      <c r="AA73" s="1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s="14"/>
    </row>
    <row r="74" spans="27:74" x14ac:dyDescent="0.35">
      <c r="AA74" s="13"/>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s="14"/>
    </row>
    <row r="75" spans="27:74" x14ac:dyDescent="0.35">
      <c r="AA75" s="13"/>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s="14"/>
    </row>
    <row r="76" spans="27:74" x14ac:dyDescent="0.35">
      <c r="AA76" s="13"/>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s="14"/>
    </row>
    <row r="77" spans="27:74" x14ac:dyDescent="0.35">
      <c r="AA77" s="13"/>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s="14"/>
    </row>
    <row r="78" spans="27:74" x14ac:dyDescent="0.35">
      <c r="AA78" s="13"/>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s="14"/>
    </row>
    <row r="79" spans="27:74" x14ac:dyDescent="0.35">
      <c r="AA79" s="13"/>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s="14"/>
    </row>
    <row r="80" spans="27:74" x14ac:dyDescent="0.35">
      <c r="AA80" s="13"/>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s="14"/>
    </row>
    <row r="81" spans="27:74" x14ac:dyDescent="0.35">
      <c r="AA81" s="13"/>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s="14"/>
    </row>
    <row r="82" spans="27:74" x14ac:dyDescent="0.35">
      <c r="AA82" s="13"/>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s="14"/>
    </row>
    <row r="83" spans="27:74" x14ac:dyDescent="0.35">
      <c r="AA83" s="1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s="14"/>
    </row>
    <row r="84" spans="27:74" x14ac:dyDescent="0.35">
      <c r="AA84" s="13"/>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s="14"/>
    </row>
    <row r="85" spans="27:74" x14ac:dyDescent="0.35">
      <c r="AA85" s="13"/>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s="14"/>
    </row>
    <row r="86" spans="27:74" x14ac:dyDescent="0.35">
      <c r="AA86" s="13"/>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s="14"/>
    </row>
    <row r="87" spans="27:74" x14ac:dyDescent="0.35">
      <c r="AA87" s="13"/>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s="14"/>
    </row>
    <row r="88" spans="27:74" x14ac:dyDescent="0.35">
      <c r="AA88" s="13"/>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s="14"/>
    </row>
    <row r="89" spans="27:74" x14ac:dyDescent="0.35">
      <c r="AA89" s="13"/>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s="14"/>
    </row>
    <row r="90" spans="27:74" x14ac:dyDescent="0.35">
      <c r="AA90" s="13"/>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s="14"/>
    </row>
    <row r="91" spans="27:74" x14ac:dyDescent="0.35">
      <c r="AA91" s="13"/>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s="14"/>
    </row>
    <row r="92" spans="27:74" x14ac:dyDescent="0.35">
      <c r="AA92" s="13"/>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s="14"/>
    </row>
    <row r="93" spans="27:74" x14ac:dyDescent="0.35">
      <c r="AA93" s="1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s="14"/>
    </row>
    <row r="94" spans="27:74" x14ac:dyDescent="0.35">
      <c r="AA94" s="13"/>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s="14"/>
    </row>
    <row r="95" spans="27:74" x14ac:dyDescent="0.35">
      <c r="AA95" s="13"/>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s="14"/>
    </row>
    <row r="96" spans="27:74" x14ac:dyDescent="0.35">
      <c r="AA96" s="13"/>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s="14"/>
    </row>
    <row r="97" spans="27:74" x14ac:dyDescent="0.35">
      <c r="AA97" s="13"/>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s="14"/>
    </row>
    <row r="98" spans="27:74" x14ac:dyDescent="0.35">
      <c r="AA98" s="13"/>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s="14"/>
    </row>
    <row r="99" spans="27:74" x14ac:dyDescent="0.35">
      <c r="AA99" s="13"/>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s="14"/>
    </row>
    <row r="100" spans="27:74" x14ac:dyDescent="0.35">
      <c r="AA100" s="13"/>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s="14"/>
    </row>
    <row r="101" spans="27:74" x14ac:dyDescent="0.35">
      <c r="AA101" s="13"/>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s="14"/>
    </row>
    <row r="102" spans="27:74" x14ac:dyDescent="0.35">
      <c r="AA102" s="13"/>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s="14"/>
    </row>
    <row r="103" spans="27:74" x14ac:dyDescent="0.35">
      <c r="AA103" s="1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s="14"/>
    </row>
    <row r="104" spans="27:74" x14ac:dyDescent="0.35">
      <c r="AA104" s="13"/>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s="14"/>
    </row>
    <row r="105" spans="27:74" x14ac:dyDescent="0.35">
      <c r="AA105" s="13"/>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s="14"/>
    </row>
    <row r="106" spans="27:74" x14ac:dyDescent="0.35">
      <c r="AA106" s="13"/>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s="14"/>
    </row>
    <row r="107" spans="27:74" x14ac:dyDescent="0.35">
      <c r="AA107" s="13"/>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s="14"/>
    </row>
    <row r="108" spans="27:74" x14ac:dyDescent="0.35">
      <c r="AA108" s="13"/>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s="14"/>
    </row>
    <row r="109" spans="27:74" x14ac:dyDescent="0.35">
      <c r="AA109" s="13"/>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s="14"/>
    </row>
    <row r="110" spans="27:74" x14ac:dyDescent="0.35">
      <c r="AA110" s="13"/>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s="14"/>
    </row>
    <row r="111" spans="27:74" x14ac:dyDescent="0.35">
      <c r="AA111" s="13"/>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s="14"/>
    </row>
    <row r="112" spans="27:74" ht="15" thickBot="1" x14ac:dyDescent="0.4">
      <c r="AA112" s="15"/>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7"/>
    </row>
  </sheetData>
  <conditionalFormatting sqref="B33:E62">
    <cfRule type="expression" dxfId="10" priority="1">
      <formula>$A33=""</formula>
    </cfRule>
  </conditionalFormatting>
  <conditionalFormatting sqref="G33:N62">
    <cfRule type="expression" dxfId="9" priority="2">
      <formula>$A33=""</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workbookViewId="0"/>
  </sheetViews>
  <sheetFormatPr defaultColWidth="9.1796875" defaultRowHeight="14.5" x14ac:dyDescent="0.35"/>
  <cols>
    <col min="1" max="1" width="26.453125" style="5" customWidth="1"/>
    <col min="2" max="2" width="28.81640625" style="5" customWidth="1"/>
    <col min="3" max="5" width="9.1796875" style="5"/>
    <col min="6" max="6" width="67.08984375" style="5" bestFit="1" customWidth="1"/>
    <col min="7" max="7" width="23.81640625" style="5" bestFit="1" customWidth="1"/>
    <col min="8" max="8" width="127.6328125" style="5" bestFit="1" customWidth="1"/>
    <col min="9" max="9" width="77.7265625" style="5" bestFit="1" customWidth="1"/>
    <col min="10" max="11" width="9.1796875" style="5"/>
    <col min="12" max="12" width="46.36328125" style="5" bestFit="1" customWidth="1"/>
    <col min="13" max="16384" width="9.1796875" style="5"/>
  </cols>
  <sheetData>
    <row r="1" spans="1:52" ht="20" thickBot="1" x14ac:dyDescent="0.5">
      <c r="A1" s="96" t="s">
        <v>14</v>
      </c>
    </row>
    <row r="2" spans="1:52" ht="15" thickTop="1" x14ac:dyDescent="0.35">
      <c r="A2" s="152" t="s">
        <v>245</v>
      </c>
      <c r="B2" s="152"/>
      <c r="C2" s="152"/>
      <c r="D2" s="152"/>
      <c r="E2" s="152"/>
      <c r="F2" s="152"/>
      <c r="G2" s="152"/>
      <c r="H2" s="152"/>
      <c r="I2" s="152"/>
      <c r="J2" s="152"/>
      <c r="K2" s="152"/>
    </row>
    <row r="3" spans="1:52" x14ac:dyDescent="0.35">
      <c r="A3" s="5" t="s">
        <v>205</v>
      </c>
    </row>
    <row r="4" spans="1:52" x14ac:dyDescent="0.35">
      <c r="A4" s="153" t="s">
        <v>357</v>
      </c>
      <c r="B4" s="152"/>
      <c r="C4" s="152"/>
      <c r="D4" s="152"/>
      <c r="E4" s="152"/>
      <c r="F4" s="152"/>
      <c r="G4" s="152"/>
      <c r="H4" s="152"/>
      <c r="I4" s="152"/>
      <c r="J4" s="152"/>
      <c r="K4" s="152"/>
      <c r="L4" s="152"/>
      <c r="M4" s="152"/>
      <c r="N4" s="152"/>
    </row>
    <row r="5" spans="1:52" x14ac:dyDescent="0.35">
      <c r="A5" s="38" t="s">
        <v>205</v>
      </c>
    </row>
    <row r="6" spans="1:52" x14ac:dyDescent="0.35">
      <c r="A6" s="153" t="s">
        <v>253</v>
      </c>
      <c r="B6" s="152"/>
      <c r="C6" s="152"/>
      <c r="D6" s="152"/>
      <c r="E6" s="152"/>
    </row>
    <row r="7" spans="1:52" x14ac:dyDescent="0.35">
      <c r="A7" s="153" t="s">
        <v>254</v>
      </c>
      <c r="B7" s="152"/>
      <c r="C7" s="152"/>
      <c r="D7" s="152"/>
      <c r="E7" s="152"/>
      <c r="F7" s="152"/>
      <c r="G7" s="152"/>
      <c r="H7" s="152"/>
    </row>
    <row r="8" spans="1:52" x14ac:dyDescent="0.35">
      <c r="A8" s="5" t="s">
        <v>205</v>
      </c>
    </row>
    <row r="9" spans="1:52" ht="15" thickBot="1" x14ac:dyDescent="0.4">
      <c r="A9" s="97" t="s">
        <v>250</v>
      </c>
    </row>
    <row r="10" spans="1:52" x14ac:dyDescent="0.35">
      <c r="A10" s="107" t="s">
        <v>4</v>
      </c>
      <c r="B10" s="108" t="s">
        <v>14</v>
      </c>
      <c r="E10" s="10"/>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35">
      <c r="A11" s="6">
        <f>'Project Information'!$B$9</f>
        <v>2032</v>
      </c>
      <c r="B11" s="164">
        <f>('User Volumes'!G10*$G$33)+('User Volumes'!I10*$G$41)</f>
        <v>3043134.4948436073</v>
      </c>
      <c r="E11" s="13"/>
      <c r="F11"/>
      <c r="G11"/>
      <c r="H11"/>
      <c r="I11"/>
      <c r="J11"/>
      <c r="K11" s="210"/>
      <c r="L11" s="210"/>
      <c r="M11" s="21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5">
      <c r="A12" s="1">
        <f>IF(A11&lt;'Project Information'!B$11,A11+1,"")</f>
        <v>2033</v>
      </c>
      <c r="B12" s="164">
        <f>('User Volumes'!G11*$G$33)+('User Volumes'!I11*$G$41)</f>
        <v>3049220.7638332946</v>
      </c>
      <c r="E12" s="13"/>
      <c r="F12" s="244" t="s">
        <v>489</v>
      </c>
      <c r="G12" s="245"/>
      <c r="H12" s="245"/>
      <c r="I12"/>
      <c r="J12"/>
      <c r="K12" s="210"/>
      <c r="L12" s="210"/>
      <c r="M12" s="21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f>IF(A12&lt;'Project Information'!B$11,A12+1,"")</f>
        <v>2034</v>
      </c>
      <c r="B13" s="164">
        <f>('User Volumes'!G12*$G$33)+('User Volumes'!I12*$G$41)</f>
        <v>3055319.2053609611</v>
      </c>
      <c r="E13" s="13"/>
      <c r="F13"/>
      <c r="G13"/>
      <c r="H13"/>
      <c r="I13"/>
      <c r="J13"/>
      <c r="K13" s="210"/>
      <c r="L13" s="210"/>
      <c r="M13" s="21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f>IF(A13&lt;'Project Information'!B$11,A13+1,"")</f>
        <v>2035</v>
      </c>
      <c r="B14" s="164">
        <f>('User Volumes'!G13*$G$33)+('User Volumes'!I13*$G$41)</f>
        <v>3061429.8437716831</v>
      </c>
      <c r="E14" s="13"/>
      <c r="F14" s="228" t="s">
        <v>399</v>
      </c>
      <c r="G14" s="229"/>
      <c r="H14" s="229"/>
      <c r="I14"/>
      <c r="J14"/>
      <c r="K14" s="210"/>
      <c r="L14" s="210"/>
      <c r="M14" s="21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f>IF(A14&lt;'Project Information'!B$11,A14+1,"")</f>
        <v>2036</v>
      </c>
      <c r="B15" s="164">
        <f>('User Volumes'!G14*$G$33)+('User Volumes'!I14*$G$41)</f>
        <v>3067552.7034592265</v>
      </c>
      <c r="E15" s="13"/>
      <c r="F15" s="215" t="s">
        <v>392</v>
      </c>
      <c r="G15" s="210"/>
      <c r="H15"/>
      <c r="I15"/>
      <c r="J15"/>
      <c r="K15" s="210"/>
      <c r="L15" s="210"/>
      <c r="M15" s="21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2037</v>
      </c>
      <c r="B16" s="164">
        <f>('User Volumes'!G15*$G$33)+('User Volumes'!I15*$G$41)</f>
        <v>3073687.8088661451</v>
      </c>
      <c r="E16" s="13"/>
      <c r="F16" t="s">
        <v>481</v>
      </c>
      <c r="G16" s="213">
        <f>Inputs!X16-Inputs!Y16</f>
        <v>8.2341579731743622</v>
      </c>
      <c r="H16" t="s">
        <v>482</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2038</v>
      </c>
      <c r="B17" s="164">
        <f>('User Volumes'!G16*$G$33)+('User Volumes'!I16*$G$41)</f>
        <v>3079835.1844838769</v>
      </c>
      <c r="E17" s="13"/>
      <c r="F17" t="s">
        <v>391</v>
      </c>
      <c r="G17" s="212">
        <f>'Parameter Values'!B139</f>
        <v>0.11</v>
      </c>
      <c r="H17" t="s">
        <v>455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2039</v>
      </c>
      <c r="B18" s="164">
        <f>('User Volumes'!G17*$G$33)+('User Volumes'!I17*$G$41)</f>
        <v>3085994.854852844</v>
      </c>
      <c r="E18" s="13"/>
      <c r="F18" t="s">
        <v>394</v>
      </c>
      <c r="G18" s="213">
        <f>Inputs!Y41</f>
        <v>0.86</v>
      </c>
      <c r="H18" t="s">
        <v>426</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2040</v>
      </c>
      <c r="B19" s="164">
        <f>('User Volumes'!G18*$G$33)+('User Volumes'!I18*$G$41)</f>
        <v>3092166.8445625501</v>
      </c>
      <c r="E19" s="13"/>
      <c r="F19" t="s">
        <v>483</v>
      </c>
      <c r="G19" s="212">
        <f>G16*G17*G18</f>
        <v>0.77895134426229462</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2041</v>
      </c>
      <c r="B20" s="164">
        <f>('User Volumes'!G19*$G$33)+('User Volumes'!I19*$G$41)</f>
        <v>3098351.1782516749</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2042</v>
      </c>
      <c r="B21" s="164">
        <f>('User Volumes'!G20*$G$33)+('User Volumes'!I20*$G$41)</f>
        <v>3104547.8806081787</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2043</v>
      </c>
      <c r="B22" s="164">
        <f>('User Volumes'!G21*$G$33)+('User Volumes'!I21*$G$41)</f>
        <v>3110756.9763693949</v>
      </c>
      <c r="E22" s="13"/>
      <c r="F22" s="215" t="s">
        <v>397</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2044</v>
      </c>
      <c r="B23" s="164">
        <f>('User Volumes'!G22*$G$33)+('User Volumes'!I22*$G$41)</f>
        <v>3116978.4903221345</v>
      </c>
      <c r="E23" s="13"/>
      <c r="F23" t="s">
        <v>395</v>
      </c>
      <c r="G23" s="186">
        <f>Inputs!Y24-Inputs!X24</f>
        <v>9</v>
      </c>
      <c r="H23" t="s">
        <v>456</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2045</v>
      </c>
      <c r="B24" s="164">
        <f>('User Volumes'!G23*$G$33)+('User Volumes'!I23*$G$41)</f>
        <v>3123212.4473027787</v>
      </c>
      <c r="E24" s="13"/>
      <c r="F24" s="212" t="str">
        <f>'Parameter Values'!A145</f>
        <v>Install Marked-Crosswalk on Roadway with Volumes ≥10,000 Vehicle per Day</v>
      </c>
      <c r="G24" s="212">
        <f>'Parameter Values'!B145</f>
        <v>0.21</v>
      </c>
      <c r="H24" t="s">
        <v>455</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2046</v>
      </c>
      <c r="B25" s="164">
        <f>('User Volumes'!G24*$G$33)+('User Volumes'!I24*$G$41)</f>
        <v>3129458.872197384</v>
      </c>
      <c r="E25" s="13"/>
      <c r="F25" t="s">
        <v>483</v>
      </c>
      <c r="G25" s="212">
        <f>G23*G24</f>
        <v>1.89</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2047</v>
      </c>
      <c r="B26" s="164">
        <f>('User Volumes'!G25*$G$33)+('User Volumes'!I25*$G$41)</f>
        <v>3135717.7899417789</v>
      </c>
      <c r="E26" s="13"/>
      <c r="F26" s="209"/>
      <c r="G26" s="210"/>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2048</v>
      </c>
      <c r="B27" s="164">
        <f>('User Volumes'!G26*$G$33)+('User Volumes'!I26*$G$41)</f>
        <v>3141989.2255216623</v>
      </c>
      <c r="E27" s="13"/>
      <c r="F27" s="209"/>
      <c r="G27" s="210"/>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f>IF(A27&lt;'Project Information'!B$11,A27+1,"")</f>
        <v>2049</v>
      </c>
      <c r="B28" s="164">
        <f>('User Volumes'!G27*$G$33)+('User Volumes'!I27*$G$41)</f>
        <v>3148273.2039727056</v>
      </c>
      <c r="E28" s="13"/>
      <c r="F28" s="215" t="s">
        <v>398</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f>IF(A28&lt;'Project Information'!B$11,A28+1,"")</f>
        <v>2050</v>
      </c>
      <c r="B29" s="164">
        <f>('User Volumes'!G28*$G$33)+('User Volumes'!I28*$G$41)</f>
        <v>3154569.7503806511</v>
      </c>
      <c r="E29" s="13"/>
      <c r="F29" t="s">
        <v>396</v>
      </c>
      <c r="G29" s="186">
        <f>Inputs!Y25-Inputs!X25</f>
        <v>5</v>
      </c>
      <c r="H29" t="s">
        <v>456</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f>IF(A29&lt;'Project Information'!B$11,A29+1,"")</f>
        <v>2051</v>
      </c>
      <c r="B30" s="164">
        <f>('User Volumes'!G29*$G$33)+('User Volumes'!I29*$G$41)</f>
        <v>3160878.8898814125</v>
      </c>
      <c r="E30" s="13"/>
      <c r="F30" t="str">
        <f>'Parameter Values'!A146</f>
        <v>Install Signal for Pedestrian Crossing on Roadway with Volumes ≥13,000 Vehicles per Day</v>
      </c>
      <c r="G30" s="212">
        <f>'Parameter Values'!B146</f>
        <v>0.55000000000000004</v>
      </c>
      <c r="H30" t="s">
        <v>455</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t="str">
        <f>IF(A30&lt;'Project Information'!B$11,A30+1,"")</f>
        <v/>
      </c>
      <c r="B31" s="164">
        <v>0</v>
      </c>
      <c r="E31" s="13"/>
      <c r="F31" t="s">
        <v>483</v>
      </c>
      <c r="G31" s="212">
        <f>G29*G30</f>
        <v>2.75</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t="str">
        <f>IF(A31&lt;'Project Information'!B$11,A31+1,"")</f>
        <v/>
      </c>
      <c r="B32" s="164">
        <v>0</v>
      </c>
      <c r="E32" s="13"/>
      <c r="F32" s="209"/>
      <c r="G32" s="210"/>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t="str">
        <f>IF(A32&lt;'Project Information'!B$11,A32+1,"")</f>
        <v/>
      </c>
      <c r="B33" s="164">
        <v>0</v>
      </c>
      <c r="E33" s="13"/>
      <c r="F33" s="226" t="s">
        <v>401</v>
      </c>
      <c r="G33" s="227">
        <f>G19+G25+G31</f>
        <v>5.418951344262295</v>
      </c>
      <c r="H33" s="58"/>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s="228" t="s">
        <v>400</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s="216" t="s">
        <v>393</v>
      </c>
      <c r="G36" s="232"/>
      <c r="H36" s="58"/>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1" t="str">
        <f>IF(A36&lt;'Project Information'!B$11,A36+1,"")</f>
        <v/>
      </c>
      <c r="B37" s="164">
        <v>0</v>
      </c>
      <c r="E37" s="13"/>
      <c r="F37" t="s">
        <v>390</v>
      </c>
      <c r="G37" s="212">
        <f>'Parameter Values'!B153</f>
        <v>1.7</v>
      </c>
      <c r="H37" t="s">
        <v>455</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A38" s="1" t="str">
        <f>IF(A37&lt;'Project Information'!B$11,A37+1,"")</f>
        <v/>
      </c>
      <c r="B38" s="164">
        <v>0</v>
      </c>
      <c r="E38" s="13"/>
      <c r="F38" t="s">
        <v>408</v>
      </c>
      <c r="G38" s="213">
        <f>Inputs!Y42</f>
        <v>2.38</v>
      </c>
      <c r="H38" t="s">
        <v>427</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A39" s="1" t="str">
        <f>IF(A38&lt;'Project Information'!B$11,A38+1,"")</f>
        <v/>
      </c>
      <c r="B39" s="164">
        <v>0</v>
      </c>
      <c r="E39" s="13"/>
      <c r="F39" t="s">
        <v>483</v>
      </c>
      <c r="G39" s="212">
        <f>G37*G38</f>
        <v>4.0459999999999994</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A40" s="2" t="str">
        <f>IF(A39&lt;'Project Information'!B$11,A39+1,"")</f>
        <v/>
      </c>
      <c r="B40" s="120">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E41" s="13"/>
      <c r="F41" s="226" t="s">
        <v>402</v>
      </c>
      <c r="G41" s="227">
        <f>G39</f>
        <v>4.0459999999999994</v>
      </c>
      <c r="H41" s="58"/>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 thickBot="1" x14ac:dyDescent="0.4">
      <c r="E90" s="15"/>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conditionalFormatting sqref="B11:B40">
    <cfRule type="expression" dxfId="8" priority="1">
      <formula>A11=""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workbookViewId="0"/>
  </sheetViews>
  <sheetFormatPr defaultColWidth="9.1796875" defaultRowHeight="14.5" x14ac:dyDescent="0.35"/>
  <cols>
    <col min="1" max="1" width="27.26953125" style="5" customWidth="1"/>
    <col min="2" max="2" width="40.7265625" style="5" customWidth="1"/>
    <col min="3" max="3" width="24.453125" style="5" customWidth="1"/>
    <col min="4" max="16384" width="9.1796875" style="5"/>
  </cols>
  <sheetData>
    <row r="1" spans="1:52" ht="20" thickBot="1" x14ac:dyDescent="0.5">
      <c r="A1" s="96" t="s">
        <v>13</v>
      </c>
    </row>
    <row r="2" spans="1:52" ht="15" thickTop="1" x14ac:dyDescent="0.35">
      <c r="A2" s="152" t="s">
        <v>245</v>
      </c>
      <c r="B2" s="152"/>
      <c r="C2" s="152"/>
      <c r="D2" s="152"/>
      <c r="E2" s="152"/>
      <c r="F2" s="152"/>
      <c r="G2" s="152"/>
      <c r="H2" s="152"/>
    </row>
    <row r="3" spans="1:52" x14ac:dyDescent="0.35">
      <c r="A3" s="5" t="s">
        <v>205</v>
      </c>
    </row>
    <row r="4" spans="1:52" x14ac:dyDescent="0.35">
      <c r="A4" s="153" t="s">
        <v>357</v>
      </c>
      <c r="B4" s="152"/>
      <c r="C4" s="152"/>
      <c r="D4" s="152"/>
      <c r="E4" s="152"/>
      <c r="F4" s="152"/>
      <c r="G4" s="152"/>
      <c r="H4" s="152"/>
      <c r="I4" s="152"/>
      <c r="J4" s="152"/>
      <c r="K4" s="152"/>
    </row>
    <row r="5" spans="1:52" x14ac:dyDescent="0.35">
      <c r="A5" s="38" t="s">
        <v>205</v>
      </c>
    </row>
    <row r="6" spans="1:52" x14ac:dyDescent="0.35">
      <c r="A6" s="97" t="s">
        <v>246</v>
      </c>
    </row>
    <row r="7" spans="1:52" ht="29" x14ac:dyDescent="0.35">
      <c r="A7" s="117" t="s">
        <v>135</v>
      </c>
      <c r="B7" s="117" t="s">
        <v>197</v>
      </c>
      <c r="C7" s="118" t="s">
        <v>360</v>
      </c>
    </row>
    <row r="8" spans="1:52" x14ac:dyDescent="0.35">
      <c r="A8" s="43" t="s">
        <v>198</v>
      </c>
      <c r="B8" s="43" t="str">
        <f>'Parameter Values'!B220</f>
        <v>Ages 20-74</v>
      </c>
      <c r="C8" s="44">
        <f>'Parameter Values'!C220</f>
        <v>8.06</v>
      </c>
    </row>
    <row r="9" spans="1:52" x14ac:dyDescent="0.35">
      <c r="A9" s="43" t="s">
        <v>199</v>
      </c>
      <c r="B9" s="43" t="str">
        <f>'Parameter Values'!B221</f>
        <v>Ages 20-64</v>
      </c>
      <c r="C9" s="44">
        <f>'Parameter Values'!C221</f>
        <v>7.18</v>
      </c>
    </row>
    <row r="10" spans="1:52" x14ac:dyDescent="0.35">
      <c r="A10" s="152"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52"/>
      <c r="C10" s="152"/>
      <c r="D10" s="152"/>
      <c r="E10" s="152"/>
      <c r="F10" s="152"/>
      <c r="G10" s="152"/>
      <c r="H10" s="152"/>
      <c r="I10" s="152"/>
      <c r="J10" s="152"/>
      <c r="K10" s="152"/>
      <c r="L10" s="152"/>
      <c r="M10" s="152"/>
      <c r="N10" s="152"/>
      <c r="O10" s="152"/>
      <c r="P10" s="152"/>
      <c r="Q10" s="152"/>
      <c r="R10" s="152"/>
      <c r="S10" s="152"/>
      <c r="T10" s="152"/>
      <c r="U10" s="152"/>
      <c r="V10" s="152"/>
      <c r="W10" s="152"/>
    </row>
    <row r="11" spans="1:52" x14ac:dyDescent="0.35">
      <c r="A11" s="152"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row>
    <row r="12" spans="1:52" x14ac:dyDescent="0.35">
      <c r="A12" s="38" t="s">
        <v>205</v>
      </c>
    </row>
    <row r="13" spans="1:52" ht="15" thickBot="1" x14ac:dyDescent="0.4">
      <c r="A13" s="97" t="s">
        <v>251</v>
      </c>
    </row>
    <row r="14" spans="1:52" x14ac:dyDescent="0.35">
      <c r="A14" s="107" t="s">
        <v>4</v>
      </c>
      <c r="B14" s="108" t="s">
        <v>13</v>
      </c>
      <c r="E14" s="10" t="s">
        <v>161</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x14ac:dyDescent="0.35">
      <c r="A15" s="6">
        <f>'Project Information'!$B$9</f>
        <v>2032</v>
      </c>
      <c r="B15" s="164">
        <f>(('User Volumes'!G10-'User Volumes'!F10)*$C$8)+(('User Volumes'!I10-'User Volumes'!H10)*$C$9)</f>
        <v>417014.87250000099</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2033</v>
      </c>
      <c r="B16" s="164">
        <f>(('User Volumes'!G11-'User Volumes'!F11)*$C$8)+(('User Volumes'!I11-'User Volumes'!H11)*$C$9)</f>
        <v>417848.90224500111</v>
      </c>
      <c r="E16" s="13"/>
      <c r="F16" s="244" t="s">
        <v>484</v>
      </c>
      <c r="G16" s="245"/>
      <c r="H16" s="245"/>
      <c r="I16" s="245"/>
      <c r="J16" s="245"/>
      <c r="K16" s="245"/>
      <c r="L16" s="245"/>
      <c r="M16" s="245"/>
      <c r="N16" s="245"/>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2034</v>
      </c>
      <c r="B17" s="164">
        <f>(('User Volumes'!G12-'User Volumes'!F12)*$C$8)+(('User Volumes'!I12-'User Volumes'!H12)*$C$9)</f>
        <v>418684.60004949122</v>
      </c>
      <c r="E17" s="13"/>
      <c r="F17" s="179"/>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2035</v>
      </c>
      <c r="B18" s="164">
        <f>(('User Volumes'!G13-'User Volumes'!F13)*$C$8)+(('User Volumes'!I13-'User Volumes'!H13)*$C$9)</f>
        <v>419521.96924959065</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2036</v>
      </c>
      <c r="B19" s="164">
        <f>(('User Volumes'!G14-'User Volumes'!F14)*$C$8)+(('User Volumes'!I14-'User Volumes'!H14)*$C$9)</f>
        <v>420361.01318808983</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2037</v>
      </c>
      <c r="B20" s="164">
        <f>(('User Volumes'!G15-'User Volumes'!F15)*$C$8)+(('User Volumes'!I15-'User Volumes'!H15)*$C$9)</f>
        <v>421201.73521446571</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2038</v>
      </c>
      <c r="B21" s="164">
        <f>(('User Volumes'!G16-'User Volumes'!F16)*$C$8)+(('User Volumes'!I16-'User Volumes'!H16)*$C$9)</f>
        <v>422044.13868489442</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2039</v>
      </c>
      <c r="B22" s="164">
        <f>(('User Volumes'!G17-'User Volumes'!F17)*$C$8)+(('User Volumes'!I17-'User Volumes'!H17)*$C$9)</f>
        <v>422888.22696226375</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2040</v>
      </c>
      <c r="B23" s="164">
        <f>(('User Volumes'!G18-'User Volumes'!F18)*$C$8)+(('User Volumes'!I18-'User Volumes'!H18)*$C$9)</f>
        <v>423734.00341618794</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2041</v>
      </c>
      <c r="B24" s="164">
        <f>(('User Volumes'!G19-'User Volumes'!F19)*$C$8)+(('User Volumes'!I19-'User Volumes'!H19)*$C$9)</f>
        <v>424581.4714230203</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2042</v>
      </c>
      <c r="B25" s="164">
        <f>(('User Volumes'!G20-'User Volumes'!F20)*$C$8)+(('User Volumes'!I20-'User Volumes'!H20)*$C$9)</f>
        <v>425430.63436586678</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2043</v>
      </c>
      <c r="B26" s="164">
        <f>(('User Volumes'!G21-'User Volumes'!F21)*$C$8)+(('User Volumes'!I21-'User Volumes'!H21)*$C$9)</f>
        <v>426281.49563459889</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2044</v>
      </c>
      <c r="B27" s="164">
        <f>(('User Volumes'!G22-'User Volumes'!F22)*$C$8)+(('User Volumes'!I22-'User Volumes'!H22)*$C$9)</f>
        <v>427134.05862586806</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f>IF(A27&lt;'Project Information'!B$11,A27+1,"")</f>
        <v>2045</v>
      </c>
      <c r="B28" s="164">
        <f>(('User Volumes'!G23-'User Volumes'!F23)*$C$8)+(('User Volumes'!I23-'User Volumes'!H23)*$C$9)</f>
        <v>427988.32674312015</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f>IF(A28&lt;'Project Information'!B$11,A28+1,"")</f>
        <v>2046</v>
      </c>
      <c r="B29" s="164">
        <f>(('User Volumes'!G24-'User Volumes'!F24)*$C$8)+(('User Volumes'!I24-'User Volumes'!H24)*$C$9)</f>
        <v>428844.30339660664</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f>IF(A29&lt;'Project Information'!B$11,A29+1,"")</f>
        <v>2047</v>
      </c>
      <c r="B30" s="164">
        <f>(('User Volumes'!G25-'User Volumes'!F25)*$C$8)+(('User Volumes'!I25-'User Volumes'!H25)*$C$9)</f>
        <v>429701.99200339941</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f>IF(A30&lt;'Project Information'!B$11,A30+1,"")</f>
        <v>2048</v>
      </c>
      <c r="B31" s="164">
        <f>(('User Volumes'!G26-'User Volumes'!F26)*$C$8)+(('User Volumes'!I26-'User Volumes'!H26)*$C$9)</f>
        <v>430561.39598740614</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f>IF(A31&lt;'Project Information'!B$11,A31+1,"")</f>
        <v>2049</v>
      </c>
      <c r="B32" s="164">
        <f>(('User Volumes'!G27-'User Volumes'!F27)*$C$8)+(('User Volumes'!I27-'User Volumes'!H27)*$C$9)</f>
        <v>431422.518779381</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f>IF(A32&lt;'Project Information'!B$11,A32+1,"")</f>
        <v>2050</v>
      </c>
      <c r="B33" s="164">
        <f>(('User Volumes'!G28-'User Volumes'!F28)*$C$8)+(('User Volumes'!I28-'User Volumes'!H28)*$C$9)</f>
        <v>432285.36381693959</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f>IF(A33&lt;'Project Information'!B$11,A33+1,"")</f>
        <v>2051</v>
      </c>
      <c r="B34" s="164">
        <f>(('User Volumes'!G29-'User Volumes'!F29)*$C$8)+(('User Volumes'!I29-'User Volumes'!H29)*$C$9)</f>
        <v>433149.9345445736</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1" t="str">
        <f>IF(A36&lt;'Project Information'!B$11,A36+1,"")</f>
        <v/>
      </c>
      <c r="B37" s="164">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A38" s="1" t="str">
        <f>IF(A37&lt;'Project Information'!B$11,A37+1,"")</f>
        <v/>
      </c>
      <c r="B38" s="164">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A39" s="1" t="str">
        <f>IF(A38&lt;'Project Information'!B$11,A38+1,"")</f>
        <v/>
      </c>
      <c r="B39" s="164">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A40" s="1" t="str">
        <f>IF(A39&lt;'Project Information'!B$11,A39+1,"")</f>
        <v/>
      </c>
      <c r="B40" s="164">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A41" s="1" t="str">
        <f>IF(A40&lt;'Project Information'!B$11,A40+1,"")</f>
        <v/>
      </c>
      <c r="B41" s="164">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A42" s="1" t="str">
        <f>IF(A41&lt;'Project Information'!B$11,A41+1,"")</f>
        <v/>
      </c>
      <c r="B42" s="164">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A43" s="1" t="str">
        <f>IF(A42&lt;'Project Information'!B$11,A42+1,"")</f>
        <v/>
      </c>
      <c r="B43" s="164">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A44" s="2" t="str">
        <f>IF(A43&lt;'Project Information'!B$11,A43+1,"")</f>
        <v/>
      </c>
      <c r="B44" s="120">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3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3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3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 thickBot="1" x14ac:dyDescent="0.4">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conditionalFormatting sqref="B15:B44">
    <cfRule type="expression" dxfId="7" priority="1">
      <formula>A15=""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Q65"/>
  <sheetViews>
    <sheetView zoomScale="85" zoomScaleNormal="85" workbookViewId="0"/>
  </sheetViews>
  <sheetFormatPr defaultColWidth="9.1796875" defaultRowHeight="14.5" x14ac:dyDescent="0.35"/>
  <cols>
    <col min="1" max="1" width="32.54296875" style="5" customWidth="1"/>
    <col min="2" max="2" width="30.26953125" style="5" customWidth="1"/>
    <col min="3" max="3" width="23.81640625" style="5" customWidth="1"/>
    <col min="4" max="4" width="25.453125" style="5" customWidth="1"/>
    <col min="5" max="5" width="31" style="5" customWidth="1"/>
    <col min="6" max="6" width="27.81640625" style="5" customWidth="1"/>
    <col min="7" max="7" width="27.453125" style="5" customWidth="1"/>
    <col min="8" max="8" width="28.7265625" style="5" customWidth="1"/>
    <col min="9" max="9" width="30.81640625" style="5" customWidth="1"/>
    <col min="10" max="10" width="30.26953125" style="5" customWidth="1"/>
    <col min="11" max="11" width="26.453125" style="5" customWidth="1"/>
    <col min="12" max="12" width="21.1796875" style="5" customWidth="1"/>
    <col min="13" max="13" width="19.453125" style="5" customWidth="1"/>
    <col min="14" max="14" width="21" style="5" customWidth="1"/>
    <col min="15" max="15" width="19" style="5" customWidth="1"/>
    <col min="16" max="16" width="19.453125" style="5" customWidth="1"/>
    <col min="17" max="17" width="25.7265625" style="5" customWidth="1"/>
    <col min="18" max="18" width="18.1796875" style="5" customWidth="1"/>
    <col min="19" max="19" width="11" style="5" customWidth="1"/>
    <col min="20" max="20" width="19.81640625" style="5" customWidth="1"/>
    <col min="21" max="21" width="25.1796875" style="5" customWidth="1"/>
    <col min="22" max="16384" width="9.1796875" style="5"/>
  </cols>
  <sheetData>
    <row r="1" spans="1:17" ht="20" thickBot="1" x14ac:dyDescent="0.5">
      <c r="A1" s="96" t="s">
        <v>221</v>
      </c>
    </row>
    <row r="2" spans="1:17" ht="15" thickTop="1" x14ac:dyDescent="0.35">
      <c r="A2" s="152" t="s">
        <v>162</v>
      </c>
      <c r="B2" s="152"/>
      <c r="C2" s="152"/>
      <c r="D2" s="152"/>
      <c r="E2" s="152"/>
      <c r="F2" s="152"/>
      <c r="G2" s="152"/>
      <c r="H2" s="152"/>
      <c r="I2" s="152"/>
      <c r="J2" s="152"/>
    </row>
    <row r="3" spans="1:17" x14ac:dyDescent="0.35">
      <c r="A3" s="5" t="s">
        <v>205</v>
      </c>
    </row>
    <row r="4" spans="1:17" x14ac:dyDescent="0.35">
      <c r="A4" s="97" t="s">
        <v>243</v>
      </c>
    </row>
    <row r="5" spans="1:17" x14ac:dyDescent="0.35">
      <c r="A5" s="110" t="s">
        <v>4</v>
      </c>
      <c r="B5" s="113" t="s">
        <v>7</v>
      </c>
      <c r="C5" s="113" t="s">
        <v>8</v>
      </c>
      <c r="D5" s="113" t="s">
        <v>9</v>
      </c>
      <c r="E5" s="113" t="s">
        <v>10</v>
      </c>
      <c r="F5" s="113" t="s">
        <v>11</v>
      </c>
      <c r="G5" s="113" t="s">
        <v>12</v>
      </c>
      <c r="H5" s="113" t="s">
        <v>263</v>
      </c>
      <c r="I5" s="113" t="s">
        <v>14</v>
      </c>
      <c r="J5" s="113" t="s">
        <v>13</v>
      </c>
      <c r="K5" s="113" t="s">
        <v>20</v>
      </c>
      <c r="L5" s="113" t="str">
        <f>'Other Benefit 1'!B7</f>
        <v>Other Benefit 1</v>
      </c>
      <c r="M5" s="113" t="str">
        <f>'Other Benefit 2'!B7</f>
        <v>Other Benefit 2</v>
      </c>
      <c r="N5" s="113" t="str">
        <f>'Other Benefit 3'!B7</f>
        <v>Other Benefit 3</v>
      </c>
      <c r="O5" s="113" t="str">
        <f>'Other Benefit 4'!B11</f>
        <v>Other Benefit 4</v>
      </c>
      <c r="P5" s="113" t="s">
        <v>19</v>
      </c>
      <c r="Q5" s="107" t="s">
        <v>0</v>
      </c>
    </row>
    <row r="6" spans="1:17" x14ac:dyDescent="0.35">
      <c r="A6" s="6">
        <f>'Project Information'!$B$9</f>
        <v>2032</v>
      </c>
      <c r="B6" s="7">
        <f>'Operations and Maintenance'!D8</f>
        <v>-586053.20108956716</v>
      </c>
      <c r="C6" s="7">
        <f>Safety!D22</f>
        <v>689400</v>
      </c>
      <c r="D6" s="7">
        <f>'Travel Time Savings'!D20</f>
        <v>403937.73136607133</v>
      </c>
      <c r="E6" s="7">
        <f>'Vehicle Operating Cost Savings'!D26</f>
        <v>0</v>
      </c>
      <c r="F6" s="21">
        <f>'Emissions Reduction'!S33</f>
        <v>0</v>
      </c>
      <c r="G6" s="21">
        <f>'Emissions Reduction'!T33</f>
        <v>0</v>
      </c>
      <c r="H6" s="21">
        <f>'Other Highway Use Externalities'!B20</f>
        <v>0</v>
      </c>
      <c r="I6" s="7">
        <f>'Amenity Benefits'!B11</f>
        <v>3043134.4948436073</v>
      </c>
      <c r="J6" s="7">
        <f>'Health Benefits'!B15</f>
        <v>417014.87250000099</v>
      </c>
      <c r="K6" s="7">
        <f>'Residual Value'!B23</f>
        <v>0</v>
      </c>
      <c r="L6" s="7">
        <f>'Other Benefit 1'!B8</f>
        <v>0</v>
      </c>
      <c r="M6" s="7">
        <f>'Other Benefit 2'!B8</f>
        <v>0</v>
      </c>
      <c r="N6" s="7">
        <f>'Other Benefit 3'!B8</f>
        <v>0</v>
      </c>
      <c r="O6" s="7">
        <f>'Other Benefit 4'!B12</f>
        <v>0</v>
      </c>
      <c r="P6" s="157">
        <f>SUM(C6:O6)-B6</f>
        <v>5139540.2997992476</v>
      </c>
      <c r="Q6" s="8">
        <f>IFERROR(((P6-G6)/(1.031)^(A6-Overview!$B$22))+((G6)/(1.02)^(A6-Overview!$B$22)),0)</f>
        <v>3904777.4643963552</v>
      </c>
    </row>
    <row r="7" spans="1:17" x14ac:dyDescent="0.35">
      <c r="A7" s="1">
        <f>IF(A6&lt;'Project Information'!B$11,A6+1,"")</f>
        <v>2033</v>
      </c>
      <c r="B7" s="7">
        <f>'Operations and Maintenance'!D9</f>
        <v>-89084.797122254153</v>
      </c>
      <c r="C7" s="7">
        <f>Safety!D23</f>
        <v>690778.79999999993</v>
      </c>
      <c r="D7" s="7">
        <f>'Travel Time Savings'!D21</f>
        <v>404745.60682880343</v>
      </c>
      <c r="E7" s="7">
        <f>'Vehicle Operating Cost Savings'!D27</f>
        <v>0</v>
      </c>
      <c r="F7" s="21">
        <f>'Emissions Reduction'!S34</f>
        <v>0</v>
      </c>
      <c r="G7" s="21">
        <f>'Emissions Reduction'!T34</f>
        <v>0</v>
      </c>
      <c r="H7" s="21">
        <f>'Other Highway Use Externalities'!B21</f>
        <v>0</v>
      </c>
      <c r="I7" s="7">
        <f>'Amenity Benefits'!B12</f>
        <v>3049220.7638332946</v>
      </c>
      <c r="J7" s="7">
        <f>'Health Benefits'!B16</f>
        <v>417848.90224500111</v>
      </c>
      <c r="K7" s="7">
        <f>'Residual Value'!B24</f>
        <v>0</v>
      </c>
      <c r="L7" s="7">
        <f>'Other Benefit 1'!B9</f>
        <v>0</v>
      </c>
      <c r="M7" s="7">
        <f>'Other Benefit 2'!B9</f>
        <v>0</v>
      </c>
      <c r="N7" s="7">
        <f>'Other Benefit 3'!B9</f>
        <v>0</v>
      </c>
      <c r="O7" s="7">
        <f>'Other Benefit 4'!B13</f>
        <v>0</v>
      </c>
      <c r="P7" s="157">
        <f t="shared" ref="P7:P35" si="0">SUM(C7:O7)-B7</f>
        <v>4651678.8700293535</v>
      </c>
      <c r="Q7" s="8">
        <f>IFERROR(((P7-G7)/(1.031)^(A7-Overview!$B$22))+((G7)/(1.02)^(A7-Overview!$B$22)),0)</f>
        <v>3427859.9713627989</v>
      </c>
    </row>
    <row r="8" spans="1:17" x14ac:dyDescent="0.35">
      <c r="A8" s="1">
        <f>IF(A7&lt;'Project Information'!B$11,A7+1,"")</f>
        <v>2034</v>
      </c>
      <c r="B8" s="7">
        <f>'Operations and Maintenance'!D10</f>
        <v>-92207.341035921781</v>
      </c>
      <c r="C8" s="7">
        <f>Safety!D24</f>
        <v>692160.35759999999</v>
      </c>
      <c r="D8" s="7">
        <f>'Travel Time Savings'!D22</f>
        <v>405555.09804246109</v>
      </c>
      <c r="E8" s="7">
        <f>'Vehicle Operating Cost Savings'!D28</f>
        <v>0</v>
      </c>
      <c r="F8" s="21">
        <f>'Emissions Reduction'!S35</f>
        <v>0</v>
      </c>
      <c r="G8" s="21">
        <f>'Emissions Reduction'!T35</f>
        <v>0</v>
      </c>
      <c r="H8" s="21">
        <f>'Other Highway Use Externalities'!B22</f>
        <v>0</v>
      </c>
      <c r="I8" s="7">
        <f>'Amenity Benefits'!B13</f>
        <v>3055319.2053609611</v>
      </c>
      <c r="J8" s="7">
        <f>'Health Benefits'!B17</f>
        <v>418684.60004949122</v>
      </c>
      <c r="K8" s="7">
        <f>'Residual Value'!B25</f>
        <v>0</v>
      </c>
      <c r="L8" s="7">
        <f>'Other Benefit 1'!B10</f>
        <v>0</v>
      </c>
      <c r="M8" s="7">
        <f>'Other Benefit 2'!B10</f>
        <v>0</v>
      </c>
      <c r="N8" s="7">
        <f>'Other Benefit 3'!B10</f>
        <v>0</v>
      </c>
      <c r="O8" s="7">
        <f>'Other Benefit 4'!B14</f>
        <v>0</v>
      </c>
      <c r="P8" s="157">
        <f t="shared" si="0"/>
        <v>4663926.6020888351</v>
      </c>
      <c r="Q8" s="8">
        <f>IFERROR(((P8-G8)/(1.031)^(A8-Overview!$B$22))+((G8)/(1.02)^(A8-Overview!$B$22)),0)</f>
        <v>3333545.513749178</v>
      </c>
    </row>
    <row r="9" spans="1:17" x14ac:dyDescent="0.35">
      <c r="A9" s="1">
        <f>IF(A8&lt;'Project Information'!B$11,A8+1,"")</f>
        <v>2035</v>
      </c>
      <c r="B9" s="7">
        <f>'Operations and Maintenance'!D11</f>
        <v>-95423.561266999444</v>
      </c>
      <c r="C9" s="7">
        <f>Safety!D25</f>
        <v>693544.67831520003</v>
      </c>
      <c r="D9" s="7">
        <f>'Travel Time Savings'!D23</f>
        <v>406366.20823854598</v>
      </c>
      <c r="E9" s="7">
        <f>'Vehicle Operating Cost Savings'!D29</f>
        <v>0</v>
      </c>
      <c r="F9" s="21">
        <f>'Emissions Reduction'!S36</f>
        <v>0</v>
      </c>
      <c r="G9" s="21">
        <f>'Emissions Reduction'!T36</f>
        <v>0</v>
      </c>
      <c r="H9" s="21">
        <f>'Other Highway Use Externalities'!B23</f>
        <v>0</v>
      </c>
      <c r="I9" s="7">
        <f>'Amenity Benefits'!B14</f>
        <v>3061429.8437716831</v>
      </c>
      <c r="J9" s="7">
        <f>'Health Benefits'!B18</f>
        <v>419521.96924959065</v>
      </c>
      <c r="K9" s="7">
        <f>'Residual Value'!B26</f>
        <v>0</v>
      </c>
      <c r="L9" s="7">
        <f>'Other Benefit 1'!B11</f>
        <v>0</v>
      </c>
      <c r="M9" s="7">
        <f>'Other Benefit 2'!B11</f>
        <v>0</v>
      </c>
      <c r="N9" s="7">
        <f>'Other Benefit 3'!B11</f>
        <v>0</v>
      </c>
      <c r="O9" s="7">
        <f>'Other Benefit 4'!B15</f>
        <v>0</v>
      </c>
      <c r="P9" s="157">
        <f t="shared" si="0"/>
        <v>4676286.2608420188</v>
      </c>
      <c r="Q9" s="8">
        <f>IFERROR(((P9-G9)/(1.031)^(A9-Overview!$B$22))+((G9)/(1.02)^(A9-Overview!$B$22)),0)</f>
        <v>3241881.2709764629</v>
      </c>
    </row>
    <row r="10" spans="1:17" x14ac:dyDescent="0.35">
      <c r="A10" s="1">
        <f>IF(A9&lt;'Project Information'!B$11,A9+1,"")</f>
        <v>2036</v>
      </c>
      <c r="B10" s="7">
        <f>'Operations and Maintenance'!D12</f>
        <v>-98736.268105009425</v>
      </c>
      <c r="C10" s="7">
        <f>Safety!D26</f>
        <v>694931.76767183049</v>
      </c>
      <c r="D10" s="7">
        <f>'Travel Time Savings'!D24</f>
        <v>407178.94065502309</v>
      </c>
      <c r="E10" s="7">
        <f>'Vehicle Operating Cost Savings'!D30</f>
        <v>0</v>
      </c>
      <c r="F10" s="21">
        <f>'Emissions Reduction'!S37</f>
        <v>0</v>
      </c>
      <c r="G10" s="21">
        <f>'Emissions Reduction'!T37</f>
        <v>0</v>
      </c>
      <c r="H10" s="21">
        <f>'Other Highway Use Externalities'!B24</f>
        <v>0</v>
      </c>
      <c r="I10" s="7">
        <f>'Amenity Benefits'!B15</f>
        <v>3067552.7034592265</v>
      </c>
      <c r="J10" s="7">
        <f>'Health Benefits'!B19</f>
        <v>420361.01318808983</v>
      </c>
      <c r="K10" s="7">
        <f>'Residual Value'!B27</f>
        <v>0</v>
      </c>
      <c r="L10" s="7">
        <f>'Other Benefit 1'!B12</f>
        <v>0</v>
      </c>
      <c r="M10" s="7">
        <f>'Other Benefit 2'!B12</f>
        <v>0</v>
      </c>
      <c r="N10" s="7">
        <f>'Other Benefit 3'!B12</f>
        <v>0</v>
      </c>
      <c r="O10" s="7">
        <f>'Other Benefit 4'!B16</f>
        <v>0</v>
      </c>
      <c r="P10" s="157">
        <f t="shared" si="0"/>
        <v>4688760.6930791801</v>
      </c>
      <c r="Q10" s="8">
        <f>IFERROR(((P10-G10)/(1.031)^(A10-Overview!$B$22))+((G10)/(1.02)^(A10-Overview!$B$22)),0)</f>
        <v>3152792.7190647437</v>
      </c>
    </row>
    <row r="11" spans="1:17" x14ac:dyDescent="0.35">
      <c r="A11" s="1">
        <f>IF(A10&lt;'Project Information'!B$11,A10+1,"")</f>
        <v>2037</v>
      </c>
      <c r="B11" s="7">
        <f>'Operations and Maintenance'!D13</f>
        <v>-97148.356148159684</v>
      </c>
      <c r="C11" s="7">
        <f>Safety!D27</f>
        <v>696321.63120717404</v>
      </c>
      <c r="D11" s="7">
        <f>'Travel Time Savings'!D25</f>
        <v>407993.29853633314</v>
      </c>
      <c r="E11" s="7">
        <f>'Vehicle Operating Cost Savings'!D31</f>
        <v>0</v>
      </c>
      <c r="F11" s="21">
        <f>'Emissions Reduction'!S38</f>
        <v>0</v>
      </c>
      <c r="G11" s="21">
        <f>'Emissions Reduction'!T38</f>
        <v>0</v>
      </c>
      <c r="H11" s="21">
        <f>'Other Highway Use Externalities'!B25</f>
        <v>0</v>
      </c>
      <c r="I11" s="7">
        <f>'Amenity Benefits'!B16</f>
        <v>3073687.8088661451</v>
      </c>
      <c r="J11" s="7">
        <f>'Health Benefits'!B20</f>
        <v>421201.73521446571</v>
      </c>
      <c r="K11" s="7">
        <f>'Residual Value'!B28</f>
        <v>0</v>
      </c>
      <c r="L11" s="7">
        <f>'Other Benefit 1'!B13</f>
        <v>0</v>
      </c>
      <c r="M11" s="7">
        <f>'Other Benefit 2'!B13</f>
        <v>0</v>
      </c>
      <c r="N11" s="7">
        <f>'Other Benefit 3'!B13</f>
        <v>0</v>
      </c>
      <c r="O11" s="7">
        <f>'Other Benefit 4'!B17</f>
        <v>0</v>
      </c>
      <c r="P11" s="157">
        <f t="shared" si="0"/>
        <v>4696352.8299722774</v>
      </c>
      <c r="Q11" s="8">
        <f>IFERROR(((P11-G11)/(1.031)^(A11-Overview!$B$22))+((G11)/(1.02)^(A11-Overview!$B$22)),0)</f>
        <v>3062946.4454938015</v>
      </c>
    </row>
    <row r="12" spans="1:17" x14ac:dyDescent="0.35">
      <c r="A12" s="1">
        <f>IF(A11&lt;'Project Information'!B$11,A11+1,"")</f>
        <v>2038</v>
      </c>
      <c r="B12" s="7">
        <f>'Operations and Maintenance'!D14</f>
        <v>-100662.80683260447</v>
      </c>
      <c r="C12" s="7">
        <f>Safety!D28</f>
        <v>697714.2744695883</v>
      </c>
      <c r="D12" s="7">
        <f>'Travel Time Savings'!D26</f>
        <v>408809.28513340576</v>
      </c>
      <c r="E12" s="7">
        <f>'Vehicle Operating Cost Savings'!D32</f>
        <v>0</v>
      </c>
      <c r="F12" s="21">
        <f>'Emissions Reduction'!S39</f>
        <v>0</v>
      </c>
      <c r="G12" s="21">
        <f>'Emissions Reduction'!T39</f>
        <v>0</v>
      </c>
      <c r="H12" s="21">
        <f>'Other Highway Use Externalities'!B26</f>
        <v>0</v>
      </c>
      <c r="I12" s="7">
        <f>'Amenity Benefits'!B17</f>
        <v>3079835.1844838769</v>
      </c>
      <c r="J12" s="7">
        <f>'Health Benefits'!B21</f>
        <v>422044.13868489442</v>
      </c>
      <c r="K12" s="7">
        <f>'Residual Value'!B29</f>
        <v>0</v>
      </c>
      <c r="L12" s="7">
        <f>'Other Benefit 1'!B14</f>
        <v>0</v>
      </c>
      <c r="M12" s="7">
        <f>'Other Benefit 2'!B14</f>
        <v>0</v>
      </c>
      <c r="N12" s="7">
        <f>'Other Benefit 3'!B14</f>
        <v>0</v>
      </c>
      <c r="O12" s="7">
        <f>'Other Benefit 4'!B18</f>
        <v>0</v>
      </c>
      <c r="P12" s="157">
        <f t="shared" si="0"/>
        <v>4709065.6896043699</v>
      </c>
      <c r="Q12" s="8">
        <f>IFERROR(((P12-G12)/(1.031)^(A12-Overview!$B$22))+((G12)/(1.02)^(A12-Overview!$B$22)),0)</f>
        <v>2978892.0778784803</v>
      </c>
    </row>
    <row r="13" spans="1:17" x14ac:dyDescent="0.35">
      <c r="A13" s="1">
        <f>IF(A12&lt;'Project Information'!B$11,A12+1,"")</f>
        <v>2039</v>
      </c>
      <c r="B13" s="7">
        <f>'Operations and Maintenance'!D15</f>
        <v>-104282.69103758263</v>
      </c>
      <c r="C13" s="7">
        <f>Safety!D29</f>
        <v>699109.70301852736</v>
      </c>
      <c r="D13" s="7">
        <f>'Travel Time Savings'!D27</f>
        <v>409626.90370367264</v>
      </c>
      <c r="E13" s="7">
        <f>'Vehicle Operating Cost Savings'!D33</f>
        <v>0</v>
      </c>
      <c r="F13" s="21">
        <f>'Emissions Reduction'!S40</f>
        <v>0</v>
      </c>
      <c r="G13" s="21">
        <f>'Emissions Reduction'!T40</f>
        <v>0</v>
      </c>
      <c r="H13" s="21">
        <f>'Other Highway Use Externalities'!B27</f>
        <v>0</v>
      </c>
      <c r="I13" s="7">
        <f>'Amenity Benefits'!B18</f>
        <v>3085994.854852844</v>
      </c>
      <c r="J13" s="7">
        <f>'Health Benefits'!B22</f>
        <v>422888.22696226375</v>
      </c>
      <c r="K13" s="7">
        <f>'Residual Value'!B30</f>
        <v>0</v>
      </c>
      <c r="L13" s="7">
        <f>'Other Benefit 1'!B15</f>
        <v>0</v>
      </c>
      <c r="M13" s="7">
        <f>'Other Benefit 2'!B15</f>
        <v>0</v>
      </c>
      <c r="N13" s="7">
        <f>'Other Benefit 3'!B15</f>
        <v>0</v>
      </c>
      <c r="O13" s="7">
        <f>'Other Benefit 4'!B19</f>
        <v>0</v>
      </c>
      <c r="P13" s="157">
        <f>SUM(C13:O13)-B13</f>
        <v>4721902.3795748902</v>
      </c>
      <c r="Q13" s="8">
        <f>IFERROR(((P13-G13)/(1.031)^(A13-Overview!$B$22))+((G13)/(1.02)^(A13-Overview!$B$22)),0)</f>
        <v>2897199.2207110692</v>
      </c>
    </row>
    <row r="14" spans="1:17" x14ac:dyDescent="0.35">
      <c r="A14" s="1">
        <f>IF(A13&lt;'Project Information'!B$11,A13+1,"")</f>
        <v>2040</v>
      </c>
      <c r="B14" s="7">
        <f>'Operations and Maintenance'!D16</f>
        <v>-108011.1717687101</v>
      </c>
      <c r="C14" s="7">
        <f>Safety!D30</f>
        <v>700507.92242456449</v>
      </c>
      <c r="D14" s="7">
        <f>'Travel Time Savings'!D28</f>
        <v>410446.15751108003</v>
      </c>
      <c r="E14" s="7">
        <f>'Vehicle Operating Cost Savings'!D34</f>
        <v>0</v>
      </c>
      <c r="F14" s="21">
        <f>'Emissions Reduction'!S41</f>
        <v>0</v>
      </c>
      <c r="G14" s="21">
        <f>'Emissions Reduction'!T41</f>
        <v>0</v>
      </c>
      <c r="H14" s="21">
        <f>'Other Highway Use Externalities'!B28</f>
        <v>0</v>
      </c>
      <c r="I14" s="7">
        <f>'Amenity Benefits'!B19</f>
        <v>3092166.8445625501</v>
      </c>
      <c r="J14" s="7">
        <f>'Health Benefits'!B23</f>
        <v>423734.00341618794</v>
      </c>
      <c r="K14" s="7">
        <f>'Residual Value'!B31</f>
        <v>0</v>
      </c>
      <c r="L14" s="7">
        <f>'Other Benefit 1'!B16</f>
        <v>0</v>
      </c>
      <c r="M14" s="7">
        <f>'Other Benefit 2'!B16</f>
        <v>0</v>
      </c>
      <c r="N14" s="7">
        <f>'Other Benefit 3'!B16</f>
        <v>0</v>
      </c>
      <c r="O14" s="7">
        <f>'Other Benefit 4'!B20</f>
        <v>0</v>
      </c>
      <c r="P14" s="157">
        <f t="shared" si="0"/>
        <v>4734866.0996830929</v>
      </c>
      <c r="Q14" s="8">
        <f>IFERROR(((P14-G14)/(1.031)^(A14-Overview!$B$22))+((G14)/(1.02)^(A14-Overview!$B$22)),0)</f>
        <v>2817801.4741807883</v>
      </c>
    </row>
    <row r="15" spans="1:17" x14ac:dyDescent="0.35">
      <c r="A15" s="1">
        <f>IF(A14&lt;'Project Information'!B$11,A14+1,"")</f>
        <v>2041</v>
      </c>
      <c r="B15" s="7">
        <f>'Operations and Maintenance'!D17</f>
        <v>-111851.50692177139</v>
      </c>
      <c r="C15" s="7">
        <f>Safety!D31</f>
        <v>701908.93826941354</v>
      </c>
      <c r="D15" s="7">
        <f>'Travel Time Savings'!D29</f>
        <v>411267.04982610216</v>
      </c>
      <c r="E15" s="7">
        <f>'Vehicle Operating Cost Savings'!D35</f>
        <v>0</v>
      </c>
      <c r="F15" s="21">
        <f>'Emissions Reduction'!S42</f>
        <v>0</v>
      </c>
      <c r="G15" s="21">
        <f>'Emissions Reduction'!T42</f>
        <v>0</v>
      </c>
      <c r="H15" s="21">
        <f>'Other Highway Use Externalities'!B29</f>
        <v>0</v>
      </c>
      <c r="I15" s="7">
        <f>'Amenity Benefits'!B20</f>
        <v>3098351.1782516749</v>
      </c>
      <c r="J15" s="7">
        <f>'Health Benefits'!B24</f>
        <v>424581.4714230203</v>
      </c>
      <c r="K15" s="7">
        <f>'Residual Value'!B32</f>
        <v>0</v>
      </c>
      <c r="L15" s="7">
        <f>'Other Benefit 1'!B17</f>
        <v>0</v>
      </c>
      <c r="M15" s="7">
        <f>'Other Benefit 2'!B17</f>
        <v>0</v>
      </c>
      <c r="N15" s="7">
        <f>'Other Benefit 3'!B17</f>
        <v>0</v>
      </c>
      <c r="O15" s="7">
        <f>'Other Benefit 4'!B21</f>
        <v>0</v>
      </c>
      <c r="P15" s="157">
        <f t="shared" si="0"/>
        <v>4747960.1446919823</v>
      </c>
      <c r="Q15" s="8">
        <f>IFERROR(((P15-G15)/(1.031)^(A15-Overview!$B$22))+((G15)/(1.02)^(A15-Overview!$B$22)),0)</f>
        <v>2740634.3054830539</v>
      </c>
    </row>
    <row r="16" spans="1:17" x14ac:dyDescent="0.35">
      <c r="A16" s="1">
        <f>IF(A15&lt;'Project Information'!B$11,A15+1,"")</f>
        <v>2042</v>
      </c>
      <c r="B16" s="7">
        <f>'Operations and Maintenance'!D18</f>
        <v>-110807.05212942453</v>
      </c>
      <c r="C16" s="7">
        <f>Safety!D32</f>
        <v>703312.75614595239</v>
      </c>
      <c r="D16" s="7">
        <f>'Travel Time Savings'!D30</f>
        <v>412089.5839257543</v>
      </c>
      <c r="E16" s="7">
        <f>'Vehicle Operating Cost Savings'!D36</f>
        <v>0</v>
      </c>
      <c r="F16" s="21">
        <f>'Emissions Reduction'!S43</f>
        <v>0</v>
      </c>
      <c r="G16" s="21">
        <f>'Emissions Reduction'!T43</f>
        <v>0</v>
      </c>
      <c r="H16" s="21">
        <f>'Other Highway Use Externalities'!B30</f>
        <v>0</v>
      </c>
      <c r="I16" s="7">
        <f>'Amenity Benefits'!B21</f>
        <v>3104547.8806081787</v>
      </c>
      <c r="J16" s="7">
        <f>'Health Benefits'!B25</f>
        <v>425430.63436586678</v>
      </c>
      <c r="K16" s="7">
        <f>'Residual Value'!B33</f>
        <v>0</v>
      </c>
      <c r="L16" s="7">
        <f>'Other Benefit 1'!B18</f>
        <v>0</v>
      </c>
      <c r="M16" s="7">
        <f>'Other Benefit 2'!B18</f>
        <v>0</v>
      </c>
      <c r="N16" s="7">
        <f>'Other Benefit 3'!B18</f>
        <v>0</v>
      </c>
      <c r="O16" s="7">
        <f>'Other Benefit 4'!B22</f>
        <v>0</v>
      </c>
      <c r="P16" s="157">
        <f t="shared" si="0"/>
        <v>4756187.9071751758</v>
      </c>
      <c r="Q16" s="8">
        <f>IFERROR(((P16-G16)/(1.031)^(A16-Overview!$B$22))+((G16)/(1.02)^(A16-Overview!$B$22)),0)</f>
        <v>2662835.6581678768</v>
      </c>
    </row>
    <row r="17" spans="1:17" x14ac:dyDescent="0.35">
      <c r="A17" s="1">
        <f>IF(A16&lt;'Project Information'!B$11,A16+1,"")</f>
        <v>2043</v>
      </c>
      <c r="B17" s="7">
        <f>'Operations and Maintenance'!D19</f>
        <v>-114881.26369330726</v>
      </c>
      <c r="C17" s="7">
        <f>Safety!D33</f>
        <v>704719.38165824418</v>
      </c>
      <c r="D17" s="7">
        <f>'Travel Time Savings'!D31</f>
        <v>412913.76309360581</v>
      </c>
      <c r="E17" s="7">
        <f>'Vehicle Operating Cost Savings'!D37</f>
        <v>0</v>
      </c>
      <c r="F17" s="21">
        <f>'Emissions Reduction'!S44</f>
        <v>0</v>
      </c>
      <c r="G17" s="21">
        <f>'Emissions Reduction'!T44</f>
        <v>0</v>
      </c>
      <c r="H17" s="21">
        <f>'Other Highway Use Externalities'!B31</f>
        <v>0</v>
      </c>
      <c r="I17" s="7">
        <f>'Amenity Benefits'!B22</f>
        <v>3110756.9763693949</v>
      </c>
      <c r="J17" s="7">
        <f>'Health Benefits'!B26</f>
        <v>426281.49563459889</v>
      </c>
      <c r="K17" s="7">
        <f>'Residual Value'!B34</f>
        <v>0</v>
      </c>
      <c r="L17" s="7">
        <f>'Other Benefit 1'!B19</f>
        <v>0</v>
      </c>
      <c r="M17" s="7">
        <f>'Other Benefit 2'!B19</f>
        <v>0</v>
      </c>
      <c r="N17" s="7">
        <f>'Other Benefit 3'!B19</f>
        <v>0</v>
      </c>
      <c r="O17" s="7">
        <f>'Other Benefit 4'!B23</f>
        <v>0</v>
      </c>
      <c r="P17" s="157">
        <f t="shared" si="0"/>
        <v>4769552.8804491507</v>
      </c>
      <c r="Q17" s="8">
        <f>IFERROR(((P17-G17)/(1.031)^(A17-Overview!$B$22))+((G17)/(1.02)^(A17-Overview!$B$22)),0)</f>
        <v>2590027.4239560994</v>
      </c>
    </row>
    <row r="18" spans="1:17" x14ac:dyDescent="0.35">
      <c r="A18" s="1">
        <f>IF(A17&lt;'Project Information'!B$11,A17+1,"")</f>
        <v>2044</v>
      </c>
      <c r="B18" s="7">
        <f>'Operations and Maintenance'!D20</f>
        <v>-119077.70160410649</v>
      </c>
      <c r="C18" s="7">
        <f>Safety!D34</f>
        <v>706128.82042156067</v>
      </c>
      <c r="D18" s="7">
        <f>'Travel Time Savings'!D32</f>
        <v>413739.59061979305</v>
      </c>
      <c r="E18" s="7">
        <f>'Vehicle Operating Cost Savings'!D38</f>
        <v>0</v>
      </c>
      <c r="F18" s="21">
        <f>'Emissions Reduction'!S45</f>
        <v>0</v>
      </c>
      <c r="G18" s="21">
        <f>'Emissions Reduction'!T45</f>
        <v>0</v>
      </c>
      <c r="H18" s="21">
        <f>'Other Highway Use Externalities'!B32</f>
        <v>0</v>
      </c>
      <c r="I18" s="7">
        <f>'Amenity Benefits'!B23</f>
        <v>3116978.4903221345</v>
      </c>
      <c r="J18" s="7">
        <f>'Health Benefits'!B27</f>
        <v>427134.05862586806</v>
      </c>
      <c r="K18" s="7">
        <f>'Residual Value'!B35</f>
        <v>0</v>
      </c>
      <c r="L18" s="7">
        <f>'Other Benefit 1'!B20</f>
        <v>0</v>
      </c>
      <c r="M18" s="7">
        <f>'Other Benefit 2'!B20</f>
        <v>0</v>
      </c>
      <c r="N18" s="7">
        <f>'Other Benefit 3'!B20</f>
        <v>0</v>
      </c>
      <c r="O18" s="7">
        <f>'Other Benefit 4'!B24</f>
        <v>0</v>
      </c>
      <c r="P18" s="157">
        <f t="shared" si="0"/>
        <v>4783058.6615934623</v>
      </c>
      <c r="Q18" s="8">
        <f>IFERROR(((P18-G18)/(1.031)^(A18-Overview!$B$22))+((G18)/(1.02)^(A18-Overview!$B$22)),0)</f>
        <v>2519264.322772379</v>
      </c>
    </row>
    <row r="19" spans="1:17" x14ac:dyDescent="0.35">
      <c r="A19" s="1">
        <f>IF(A18&lt;'Project Information'!B$11,A18+1,"")</f>
        <v>2045</v>
      </c>
      <c r="B19" s="7">
        <f>'Operations and Maintenance'!D21</f>
        <v>-123400.03265222968</v>
      </c>
      <c r="C19" s="7">
        <f>Safety!D35</f>
        <v>707541.07806240383</v>
      </c>
      <c r="D19" s="7">
        <f>'Travel Time Savings'!D33</f>
        <v>414567.0698010326</v>
      </c>
      <c r="E19" s="7">
        <f>'Vehicle Operating Cost Savings'!D39</f>
        <v>0</v>
      </c>
      <c r="F19" s="21">
        <f>'Emissions Reduction'!S46</f>
        <v>0</v>
      </c>
      <c r="G19" s="21">
        <f>'Emissions Reduction'!T46</f>
        <v>0</v>
      </c>
      <c r="H19" s="21">
        <f>'Other Highway Use Externalities'!B33</f>
        <v>0</v>
      </c>
      <c r="I19" s="7">
        <f>'Amenity Benefits'!B24</f>
        <v>3123212.4473027787</v>
      </c>
      <c r="J19" s="7">
        <f>'Health Benefits'!B28</f>
        <v>427988.32674312015</v>
      </c>
      <c r="K19" s="7">
        <f>'Residual Value'!B36</f>
        <v>0</v>
      </c>
      <c r="L19" s="7">
        <f>'Other Benefit 1'!B21</f>
        <v>0</v>
      </c>
      <c r="M19" s="7">
        <f>'Other Benefit 2'!B21</f>
        <v>0</v>
      </c>
      <c r="N19" s="7">
        <f>'Other Benefit 3'!B21</f>
        <v>0</v>
      </c>
      <c r="O19" s="7">
        <f>'Other Benefit 4'!B25</f>
        <v>0</v>
      </c>
      <c r="P19" s="157">
        <f t="shared" si="0"/>
        <v>4796708.954561566</v>
      </c>
      <c r="Q19" s="8">
        <f>IFERROR(((P19-G19)/(1.031)^(A19-Overview!$B$22))+((G19)/(1.02)^(A19-Overview!$B$22)),0)</f>
        <v>2450488.8555412996</v>
      </c>
    </row>
    <row r="20" spans="1:17" x14ac:dyDescent="0.35">
      <c r="A20" s="1">
        <f>IF(A19&lt;'Project Information'!B$11,A19+1,"")</f>
        <v>2046</v>
      </c>
      <c r="B20" s="7">
        <f>'Operations and Maintenance'!D22</f>
        <v>-2785610.1974818832</v>
      </c>
      <c r="C20" s="7">
        <f>Safety!D36</f>
        <v>708956.1602185287</v>
      </c>
      <c r="D20" s="7">
        <f>'Travel Time Savings'!D34</f>
        <v>415396.20394063462</v>
      </c>
      <c r="E20" s="7">
        <f>'Vehicle Operating Cost Savings'!D40</f>
        <v>0</v>
      </c>
      <c r="F20" s="21">
        <f>'Emissions Reduction'!S47</f>
        <v>0</v>
      </c>
      <c r="G20" s="21">
        <f>'Emissions Reduction'!T47</f>
        <v>0</v>
      </c>
      <c r="H20" s="21">
        <f>'Other Highway Use Externalities'!B34</f>
        <v>0</v>
      </c>
      <c r="I20" s="7">
        <f>'Amenity Benefits'!B25</f>
        <v>3129458.872197384</v>
      </c>
      <c r="J20" s="7">
        <f>'Health Benefits'!B29</f>
        <v>428844.30339660664</v>
      </c>
      <c r="K20" s="7">
        <f>'Residual Value'!B37</f>
        <v>0</v>
      </c>
      <c r="L20" s="7">
        <f>'Other Benefit 1'!B22</f>
        <v>0</v>
      </c>
      <c r="M20" s="7">
        <f>'Other Benefit 2'!B22</f>
        <v>0</v>
      </c>
      <c r="N20" s="7">
        <f>'Other Benefit 3'!B22</f>
        <v>0</v>
      </c>
      <c r="O20" s="7">
        <f>'Other Benefit 4'!B26</f>
        <v>0</v>
      </c>
      <c r="P20" s="157">
        <f t="shared" si="0"/>
        <v>7468265.7372350376</v>
      </c>
      <c r="Q20" s="8">
        <f>IFERROR(((P20-G20)/(1.031)^(A20-Overview!$B$22))+((G20)/(1.02)^(A20-Overview!$B$22)),0)</f>
        <v>3700585.6566282851</v>
      </c>
    </row>
    <row r="21" spans="1:17" x14ac:dyDescent="0.35">
      <c r="A21" s="1">
        <f>IF(A20&lt;'Project Information'!B$11,A20+1,"")</f>
        <v>2047</v>
      </c>
      <c r="B21" s="7">
        <f>'Operations and Maintenance'!D23</f>
        <v>-127437.59464075047</v>
      </c>
      <c r="C21" s="7">
        <f>Safety!D37</f>
        <v>710374.07253896573</v>
      </c>
      <c r="D21" s="7">
        <f>'Travel Time Savings'!D35</f>
        <v>416226.99634851603</v>
      </c>
      <c r="E21" s="7">
        <f>'Vehicle Operating Cost Savings'!D41</f>
        <v>0</v>
      </c>
      <c r="F21" s="21">
        <f>'Emissions Reduction'!S48</f>
        <v>0</v>
      </c>
      <c r="G21" s="21">
        <f>'Emissions Reduction'!T48</f>
        <v>0</v>
      </c>
      <c r="H21" s="21">
        <f>'Other Highway Use Externalities'!B35</f>
        <v>0</v>
      </c>
      <c r="I21" s="7">
        <f>'Amenity Benefits'!B26</f>
        <v>3135717.7899417789</v>
      </c>
      <c r="J21" s="7">
        <f>'Health Benefits'!B30</f>
        <v>429701.99200339941</v>
      </c>
      <c r="K21" s="7">
        <f>'Residual Value'!B38</f>
        <v>0</v>
      </c>
      <c r="L21" s="7">
        <f>'Other Benefit 1'!B23</f>
        <v>0</v>
      </c>
      <c r="M21" s="7">
        <f>'Other Benefit 2'!B23</f>
        <v>0</v>
      </c>
      <c r="N21" s="7">
        <f>'Other Benefit 3'!B23</f>
        <v>0</v>
      </c>
      <c r="O21" s="7">
        <f>'Other Benefit 4'!B27</f>
        <v>0</v>
      </c>
      <c r="P21" s="157">
        <f t="shared" si="0"/>
        <v>4819458.4454734102</v>
      </c>
      <c r="Q21" s="8">
        <f>IFERROR(((P21-G21)/(1.031)^(A21-Overview!$B$22))+((G21)/(1.02)^(A21-Overview!$B$22)),0)</f>
        <v>2316275.8184238141</v>
      </c>
    </row>
    <row r="22" spans="1:17" x14ac:dyDescent="0.35">
      <c r="A22" s="1">
        <f>IF(A21&lt;'Project Information'!B$11,A21+1,"")</f>
        <v>2048</v>
      </c>
      <c r="B22" s="7">
        <f>'Operations and Maintenance'!D24</f>
        <v>-132160.72247997299</v>
      </c>
      <c r="C22" s="7">
        <f>Safety!D38</f>
        <v>711794.82068404369</v>
      </c>
      <c r="D22" s="7">
        <f>'Travel Time Savings'!D36</f>
        <v>417059.45034121291</v>
      </c>
      <c r="E22" s="7">
        <f>'Vehicle Operating Cost Savings'!D42</f>
        <v>0</v>
      </c>
      <c r="F22" s="21">
        <f>'Emissions Reduction'!S49</f>
        <v>0</v>
      </c>
      <c r="G22" s="21">
        <f>'Emissions Reduction'!T49</f>
        <v>0</v>
      </c>
      <c r="H22" s="21">
        <f>'Other Highway Use Externalities'!B36</f>
        <v>0</v>
      </c>
      <c r="I22" s="7">
        <f>'Amenity Benefits'!B27</f>
        <v>3141989.2255216623</v>
      </c>
      <c r="J22" s="7">
        <f>'Health Benefits'!B31</f>
        <v>430561.39598740614</v>
      </c>
      <c r="K22" s="7">
        <f>'Residual Value'!B39</f>
        <v>0</v>
      </c>
      <c r="L22" s="7">
        <f>'Other Benefit 1'!B24</f>
        <v>0</v>
      </c>
      <c r="M22" s="7">
        <f>'Other Benefit 2'!B24</f>
        <v>0</v>
      </c>
      <c r="N22" s="7">
        <f>'Other Benefit 3'!B24</f>
        <v>0</v>
      </c>
      <c r="O22" s="7">
        <f>'Other Benefit 4'!B28</f>
        <v>0</v>
      </c>
      <c r="P22" s="157">
        <f t="shared" si="0"/>
        <v>4833565.6150142979</v>
      </c>
      <c r="Q22" s="8">
        <f>IFERROR(((P22-G22)/(1.031)^(A22-Overview!$B$22))+((G22)/(1.02)^(A22-Overview!$B$22)),0)</f>
        <v>2253206.4531142968</v>
      </c>
    </row>
    <row r="23" spans="1:17" x14ac:dyDescent="0.35">
      <c r="A23" s="1">
        <f>IF(A22&lt;'Project Information'!B$11,A22+1,"")</f>
        <v>2049</v>
      </c>
      <c r="B23" s="7">
        <f>'Operations and Maintenance'!D25</f>
        <v>-137025.54415437215</v>
      </c>
      <c r="C23" s="7">
        <f>Safety!D39</f>
        <v>713218.41032541182</v>
      </c>
      <c r="D23" s="7">
        <f>'Travel Time Savings'!D37</f>
        <v>417893.56924189552</v>
      </c>
      <c r="E23" s="7">
        <f>'Vehicle Operating Cost Savings'!D43</f>
        <v>0</v>
      </c>
      <c r="F23" s="21">
        <f>'Emissions Reduction'!S50</f>
        <v>0</v>
      </c>
      <c r="G23" s="21">
        <f>'Emissions Reduction'!T50</f>
        <v>0</v>
      </c>
      <c r="H23" s="21">
        <f>'Other Highway Use Externalities'!B37</f>
        <v>0</v>
      </c>
      <c r="I23" s="7">
        <f>'Amenity Benefits'!B28</f>
        <v>3148273.2039727056</v>
      </c>
      <c r="J23" s="7">
        <f>'Health Benefits'!B32</f>
        <v>431422.518779381</v>
      </c>
      <c r="K23" s="7">
        <f>'Residual Value'!B40</f>
        <v>0</v>
      </c>
      <c r="L23" s="7">
        <f>'Other Benefit 1'!B25</f>
        <v>0</v>
      </c>
      <c r="M23" s="7">
        <f>'Other Benefit 2'!B25</f>
        <v>0</v>
      </c>
      <c r="N23" s="7">
        <f>'Other Benefit 3'!B25</f>
        <v>0</v>
      </c>
      <c r="O23" s="7">
        <f>'Other Benefit 4'!B29</f>
        <v>0</v>
      </c>
      <c r="P23" s="157">
        <f t="shared" si="0"/>
        <v>4847833.2464737659</v>
      </c>
      <c r="Q23" s="8">
        <f>IFERROR(((P23-G23)/(1.031)^(A23-Overview!$B$22))+((G23)/(1.02)^(A23-Overview!$B$22)),0)</f>
        <v>2191908.2707304214</v>
      </c>
    </row>
    <row r="24" spans="1:17" x14ac:dyDescent="0.35">
      <c r="A24" s="1">
        <f>IF(A23&lt;'Project Information'!B$11,A23+1,"")</f>
        <v>2050</v>
      </c>
      <c r="B24" s="7">
        <f>'Operations and Maintenance'!D26</f>
        <v>-142036.3104790033</v>
      </c>
      <c r="C24" s="7">
        <f>Safety!D40</f>
        <v>714644.84714606253</v>
      </c>
      <c r="D24" s="7">
        <f>'Travel Time Savings'!D38</f>
        <v>418729.35638037923</v>
      </c>
      <c r="E24" s="7">
        <f>'Vehicle Operating Cost Savings'!D44</f>
        <v>0</v>
      </c>
      <c r="F24" s="21">
        <f>'Emissions Reduction'!S51</f>
        <v>0</v>
      </c>
      <c r="G24" s="21">
        <f>'Emissions Reduction'!T51</f>
        <v>0</v>
      </c>
      <c r="H24" s="21">
        <f>'Other Highway Use Externalities'!B38</f>
        <v>0</v>
      </c>
      <c r="I24" s="7">
        <f>'Amenity Benefits'!B29</f>
        <v>3154569.7503806511</v>
      </c>
      <c r="J24" s="7">
        <f>'Health Benefits'!B33</f>
        <v>432285.36381693959</v>
      </c>
      <c r="K24" s="7">
        <f>'Residual Value'!B41</f>
        <v>0</v>
      </c>
      <c r="L24" s="7">
        <f>'Other Benefit 1'!B26</f>
        <v>0</v>
      </c>
      <c r="M24" s="7">
        <f>'Other Benefit 2'!B26</f>
        <v>0</v>
      </c>
      <c r="N24" s="7">
        <f>'Other Benefit 3'!B26</f>
        <v>0</v>
      </c>
      <c r="O24" s="7">
        <f>'Other Benefit 4'!B30</f>
        <v>0</v>
      </c>
      <c r="P24" s="157">
        <f t="shared" si="0"/>
        <v>4862265.6282030353</v>
      </c>
      <c r="Q24" s="8">
        <f>IFERROR(((P24-G24)/(1.031)^(A24-Overview!$B$22))+((G24)/(1.02)^(A24-Overview!$B$22)),0)</f>
        <v>2132331.4786037188</v>
      </c>
    </row>
    <row r="25" spans="1:17" x14ac:dyDescent="0.35">
      <c r="A25" s="1">
        <f>IF(A24&lt;'Project Information'!B$11,A24+1,"")</f>
        <v>2051</v>
      </c>
      <c r="B25" s="7">
        <f>'Operations and Maintenance'!D27</f>
        <v>-147197.39979337342</v>
      </c>
      <c r="C25" s="7">
        <f>Safety!D41</f>
        <v>716074.13684035453</v>
      </c>
      <c r="D25" s="7">
        <f>'Travel Time Savings'!D39</f>
        <v>419566.81509314</v>
      </c>
      <c r="E25" s="7">
        <f>'Vehicle Operating Cost Savings'!D45</f>
        <v>0</v>
      </c>
      <c r="F25" s="21">
        <f>'Emissions Reduction'!S52</f>
        <v>0</v>
      </c>
      <c r="G25" s="21">
        <f>'Emissions Reduction'!T52</f>
        <v>0</v>
      </c>
      <c r="H25" s="21">
        <f>'Other Highway Use Externalities'!B39</f>
        <v>0</v>
      </c>
      <c r="I25" s="7">
        <f>'Amenity Benefits'!B30</f>
        <v>3160878.8898814125</v>
      </c>
      <c r="J25" s="7">
        <f>'Health Benefits'!B34</f>
        <v>433149.9345445736</v>
      </c>
      <c r="K25" s="7">
        <f>'Residual Value'!B42</f>
        <v>0</v>
      </c>
      <c r="L25" s="7">
        <f>'Other Benefit 1'!B27</f>
        <v>0</v>
      </c>
      <c r="M25" s="7">
        <f>'Other Benefit 2'!B27</f>
        <v>0</v>
      </c>
      <c r="N25" s="7">
        <f>'Other Benefit 3'!B27</f>
        <v>0</v>
      </c>
      <c r="O25" s="7">
        <f>'Other Benefit 4'!B31</f>
        <v>0</v>
      </c>
      <c r="P25" s="157">
        <f t="shared" si="0"/>
        <v>4876867.1761528542</v>
      </c>
      <c r="Q25" s="8">
        <f>IFERROR(((P25-G25)/(1.031)^(A25-Overview!$B$22))+((G25)/(1.02)^(A25-Overview!$B$22)),0)</f>
        <v>2074427.6838732583</v>
      </c>
    </row>
    <row r="26" spans="1:17" x14ac:dyDescent="0.35">
      <c r="A26" s="1" t="str">
        <f>IF(A25&lt;'Project Information'!B$11,A25+1,"")</f>
        <v/>
      </c>
      <c r="B26" s="7">
        <f>'Operations and Maintenance'!D28</f>
        <v>0</v>
      </c>
      <c r="C26" s="7">
        <f>Safety!D42</f>
        <v>0</v>
      </c>
      <c r="D26" s="7">
        <f>'Travel Time Savings'!D40</f>
        <v>0</v>
      </c>
      <c r="E26" s="7">
        <f>'Vehicle Operating Cost Savings'!D46</f>
        <v>0</v>
      </c>
      <c r="F26" s="21">
        <f>'Emissions Reduction'!S53</f>
        <v>0</v>
      </c>
      <c r="G26" s="21">
        <f>'Emissions Reduction'!T53</f>
        <v>0</v>
      </c>
      <c r="H26" s="21">
        <f>'Other Highway Use Externalities'!B40</f>
        <v>0</v>
      </c>
      <c r="I26" s="7">
        <f>'Amenity Benefits'!B31</f>
        <v>0</v>
      </c>
      <c r="J26" s="7">
        <f>'Health Benefits'!B35</f>
        <v>0</v>
      </c>
      <c r="K26" s="7">
        <f>'Residual Value'!B43</f>
        <v>0</v>
      </c>
      <c r="L26" s="7">
        <f>'Other Benefit 1'!B28</f>
        <v>0</v>
      </c>
      <c r="M26" s="7">
        <f>'Other Benefit 2'!B28</f>
        <v>0</v>
      </c>
      <c r="N26" s="7">
        <f>'Other Benefit 3'!B28</f>
        <v>0</v>
      </c>
      <c r="O26" s="7">
        <f>'Other Benefit 4'!B32</f>
        <v>0</v>
      </c>
      <c r="P26" s="157">
        <f t="shared" si="0"/>
        <v>0</v>
      </c>
      <c r="Q26" s="8">
        <f>IFERROR(((P26-G26)/(1.031)^(A26-Overview!$B$22))+((G26)/(1.02)^(A26-Overview!$B$22)),0)</f>
        <v>0</v>
      </c>
    </row>
    <row r="27" spans="1:17" x14ac:dyDescent="0.35">
      <c r="A27" s="1" t="str">
        <f>IF(A26&lt;'Project Information'!B$11,A26+1,"")</f>
        <v/>
      </c>
      <c r="B27" s="7">
        <f>'Operations and Maintenance'!D29</f>
        <v>0</v>
      </c>
      <c r="C27" s="7">
        <f>Safety!D43</f>
        <v>0</v>
      </c>
      <c r="D27" s="7">
        <f>'Travel Time Savings'!D41</f>
        <v>0</v>
      </c>
      <c r="E27" s="7">
        <f>'Vehicle Operating Cost Savings'!D47</f>
        <v>0</v>
      </c>
      <c r="F27" s="21">
        <f>'Emissions Reduction'!S54</f>
        <v>0</v>
      </c>
      <c r="G27" s="21">
        <f>'Emissions Reduction'!T54</f>
        <v>0</v>
      </c>
      <c r="H27" s="21">
        <f>'Other Highway Use Externalities'!B41</f>
        <v>0</v>
      </c>
      <c r="I27" s="7">
        <f>'Amenity Benefits'!B32</f>
        <v>0</v>
      </c>
      <c r="J27" s="7">
        <f>'Health Benefits'!B36</f>
        <v>0</v>
      </c>
      <c r="K27" s="7">
        <f>'Residual Value'!B44</f>
        <v>0</v>
      </c>
      <c r="L27" s="7">
        <f>'Other Benefit 1'!B29</f>
        <v>0</v>
      </c>
      <c r="M27" s="7">
        <f>'Other Benefit 2'!B29</f>
        <v>0</v>
      </c>
      <c r="N27" s="7">
        <f>'Other Benefit 3'!B29</f>
        <v>0</v>
      </c>
      <c r="O27" s="7">
        <f>'Other Benefit 4'!B33</f>
        <v>0</v>
      </c>
      <c r="P27" s="157">
        <f t="shared" si="0"/>
        <v>0</v>
      </c>
      <c r="Q27" s="8">
        <f>IFERROR(((P27-G27)/(1.031)^(A27-Overview!$B$22))+((G27)/(1.02)^(A27-Overview!$B$22)),0)</f>
        <v>0</v>
      </c>
    </row>
    <row r="28" spans="1:17" x14ac:dyDescent="0.35">
      <c r="A28" s="1" t="str">
        <f>IF(A27&lt;'Project Information'!B$11,A27+1,"")</f>
        <v/>
      </c>
      <c r="B28" s="7">
        <f>'Operations and Maintenance'!D30</f>
        <v>0</v>
      </c>
      <c r="C28" s="7">
        <f>Safety!D44</f>
        <v>0</v>
      </c>
      <c r="D28" s="7">
        <f>'Travel Time Savings'!D42</f>
        <v>0</v>
      </c>
      <c r="E28" s="7">
        <f>'Vehicle Operating Cost Savings'!D48</f>
        <v>0</v>
      </c>
      <c r="F28" s="21">
        <f>'Emissions Reduction'!S55</f>
        <v>0</v>
      </c>
      <c r="G28" s="21">
        <f>'Emissions Reduction'!T55</f>
        <v>0</v>
      </c>
      <c r="H28" s="21">
        <f>'Other Highway Use Externalities'!B42</f>
        <v>0</v>
      </c>
      <c r="I28" s="7">
        <f>'Amenity Benefits'!B33</f>
        <v>0</v>
      </c>
      <c r="J28" s="7">
        <f>'Health Benefits'!B37</f>
        <v>0</v>
      </c>
      <c r="K28" s="7">
        <f>'Residual Value'!B45</f>
        <v>0</v>
      </c>
      <c r="L28" s="7">
        <f>'Other Benefit 1'!B30</f>
        <v>0</v>
      </c>
      <c r="M28" s="7">
        <f>'Other Benefit 2'!B30</f>
        <v>0</v>
      </c>
      <c r="N28" s="7">
        <f>'Other Benefit 3'!B30</f>
        <v>0</v>
      </c>
      <c r="O28" s="7">
        <f>'Other Benefit 4'!B34</f>
        <v>0</v>
      </c>
      <c r="P28" s="157">
        <f t="shared" si="0"/>
        <v>0</v>
      </c>
      <c r="Q28" s="8">
        <f>IFERROR(((P28-G28)/(1.031)^(A28-Overview!$B$22))+((G28)/(1.02)^(A28-Overview!$B$22)),0)</f>
        <v>0</v>
      </c>
    </row>
    <row r="29" spans="1:17" x14ac:dyDescent="0.35">
      <c r="A29" s="1" t="str">
        <f>IF(A28&lt;'Project Information'!B$11,A28+1,"")</f>
        <v/>
      </c>
      <c r="B29" s="7">
        <f>'Operations and Maintenance'!D31</f>
        <v>0</v>
      </c>
      <c r="C29" s="7">
        <f>Safety!D45</f>
        <v>0</v>
      </c>
      <c r="D29" s="7">
        <f>'Travel Time Savings'!D43</f>
        <v>0</v>
      </c>
      <c r="E29" s="7">
        <f>'Vehicle Operating Cost Savings'!D49</f>
        <v>0</v>
      </c>
      <c r="F29" s="21">
        <f>'Emissions Reduction'!S56</f>
        <v>0</v>
      </c>
      <c r="G29" s="21">
        <f>'Emissions Reduction'!T56</f>
        <v>0</v>
      </c>
      <c r="H29" s="21">
        <f>'Other Highway Use Externalities'!B43</f>
        <v>0</v>
      </c>
      <c r="I29" s="7">
        <f>'Amenity Benefits'!B34</f>
        <v>0</v>
      </c>
      <c r="J29" s="7">
        <f>'Health Benefits'!B38</f>
        <v>0</v>
      </c>
      <c r="K29" s="7">
        <f>'Residual Value'!B46</f>
        <v>0</v>
      </c>
      <c r="L29" s="7">
        <f>'Other Benefit 1'!B31</f>
        <v>0</v>
      </c>
      <c r="M29" s="7">
        <f>'Other Benefit 2'!B31</f>
        <v>0</v>
      </c>
      <c r="N29" s="7">
        <f>'Other Benefit 3'!B31</f>
        <v>0</v>
      </c>
      <c r="O29" s="7">
        <f>'Other Benefit 4'!B35</f>
        <v>0</v>
      </c>
      <c r="P29" s="157">
        <f t="shared" si="0"/>
        <v>0</v>
      </c>
      <c r="Q29" s="8">
        <f>IFERROR(((P29-G29)/(1.031)^(A29-Overview!$B$22))+((G29)/(1.02)^(A29-Overview!$B$22)),0)</f>
        <v>0</v>
      </c>
    </row>
    <row r="30" spans="1:17" x14ac:dyDescent="0.35">
      <c r="A30" s="1" t="str">
        <f>IF(A29&lt;'Project Information'!B$11,A29+1,"")</f>
        <v/>
      </c>
      <c r="B30" s="7">
        <f>'Operations and Maintenance'!D32</f>
        <v>0</v>
      </c>
      <c r="C30" s="7">
        <f>Safety!D46</f>
        <v>0</v>
      </c>
      <c r="D30" s="7">
        <f>'Travel Time Savings'!D44</f>
        <v>0</v>
      </c>
      <c r="E30" s="7">
        <f>'Vehicle Operating Cost Savings'!D50</f>
        <v>0</v>
      </c>
      <c r="F30" s="21">
        <f>'Emissions Reduction'!S57</f>
        <v>0</v>
      </c>
      <c r="G30" s="21">
        <f>'Emissions Reduction'!T57</f>
        <v>0</v>
      </c>
      <c r="H30" s="21">
        <f>'Other Highway Use Externalities'!B44</f>
        <v>0</v>
      </c>
      <c r="I30" s="7">
        <f>'Amenity Benefits'!B35</f>
        <v>0</v>
      </c>
      <c r="J30" s="7">
        <f>'Health Benefits'!B39</f>
        <v>0</v>
      </c>
      <c r="K30" s="7">
        <f>'Residual Value'!B47</f>
        <v>0</v>
      </c>
      <c r="L30" s="7">
        <f>'Other Benefit 1'!B32</f>
        <v>0</v>
      </c>
      <c r="M30" s="7">
        <f>'Other Benefit 2'!B32</f>
        <v>0</v>
      </c>
      <c r="N30" s="7">
        <f>'Other Benefit 3'!B32</f>
        <v>0</v>
      </c>
      <c r="O30" s="7">
        <f>'Other Benefit 4'!B36</f>
        <v>0</v>
      </c>
      <c r="P30" s="157">
        <f t="shared" si="0"/>
        <v>0</v>
      </c>
      <c r="Q30" s="8">
        <f>IFERROR(((P30-G30)/(1.031)^(A30-Overview!$B$22))+((G30)/(1.02)^(A30-Overview!$B$22)),0)</f>
        <v>0</v>
      </c>
    </row>
    <row r="31" spans="1:17" x14ac:dyDescent="0.35">
      <c r="A31" s="1" t="str">
        <f>IF(A30&lt;'Project Information'!B$11,A30+1,"")</f>
        <v/>
      </c>
      <c r="B31" s="7">
        <f>'Operations and Maintenance'!D33</f>
        <v>0</v>
      </c>
      <c r="C31" s="7">
        <f>Safety!D47</f>
        <v>0</v>
      </c>
      <c r="D31" s="7">
        <f>'Travel Time Savings'!D45</f>
        <v>0</v>
      </c>
      <c r="E31" s="7">
        <f>'Vehicle Operating Cost Savings'!D51</f>
        <v>0</v>
      </c>
      <c r="F31" s="21">
        <f>'Emissions Reduction'!S58</f>
        <v>0</v>
      </c>
      <c r="G31" s="21">
        <f>'Emissions Reduction'!T58</f>
        <v>0</v>
      </c>
      <c r="H31" s="21">
        <f>'Other Highway Use Externalities'!B45</f>
        <v>0</v>
      </c>
      <c r="I31" s="7">
        <f>'Amenity Benefits'!B36</f>
        <v>0</v>
      </c>
      <c r="J31" s="7">
        <f>'Health Benefits'!B40</f>
        <v>0</v>
      </c>
      <c r="K31" s="7">
        <f>'Residual Value'!B48</f>
        <v>0</v>
      </c>
      <c r="L31" s="7">
        <f>'Other Benefit 1'!B33</f>
        <v>0</v>
      </c>
      <c r="M31" s="7">
        <f>'Other Benefit 2'!B33</f>
        <v>0</v>
      </c>
      <c r="N31" s="7">
        <f>'Other Benefit 3'!B33</f>
        <v>0</v>
      </c>
      <c r="O31" s="7">
        <f>'Other Benefit 4'!B37</f>
        <v>0</v>
      </c>
      <c r="P31" s="157">
        <f t="shared" si="0"/>
        <v>0</v>
      </c>
      <c r="Q31" s="8">
        <f>IFERROR(((P31-G31)/(1.031)^(A31-Overview!$B$22))+((G31)/(1.02)^(A31-Overview!$B$22)),0)</f>
        <v>0</v>
      </c>
    </row>
    <row r="32" spans="1:17" x14ac:dyDescent="0.35">
      <c r="A32" s="1" t="str">
        <f>IF(A31&lt;'Project Information'!B$11,A31+1,"")</f>
        <v/>
      </c>
      <c r="B32" s="7">
        <f>'Operations and Maintenance'!D34</f>
        <v>0</v>
      </c>
      <c r="C32" s="7">
        <f>Safety!D48</f>
        <v>0</v>
      </c>
      <c r="D32" s="7">
        <f>'Travel Time Savings'!D46</f>
        <v>0</v>
      </c>
      <c r="E32" s="7">
        <f>'Vehicle Operating Cost Savings'!D52</f>
        <v>0</v>
      </c>
      <c r="F32" s="21">
        <f>'Emissions Reduction'!S59</f>
        <v>0</v>
      </c>
      <c r="G32" s="21">
        <f>'Emissions Reduction'!T59</f>
        <v>0</v>
      </c>
      <c r="H32" s="21">
        <f>'Other Highway Use Externalities'!B46</f>
        <v>0</v>
      </c>
      <c r="I32" s="7">
        <f>'Amenity Benefits'!B37</f>
        <v>0</v>
      </c>
      <c r="J32" s="7">
        <f>'Health Benefits'!B41</f>
        <v>0</v>
      </c>
      <c r="K32" s="7">
        <f>'Residual Value'!B49</f>
        <v>0</v>
      </c>
      <c r="L32" s="7">
        <f>'Other Benefit 1'!B34</f>
        <v>0</v>
      </c>
      <c r="M32" s="7">
        <f>'Other Benefit 2'!B34</f>
        <v>0</v>
      </c>
      <c r="N32" s="7">
        <f>'Other Benefit 3'!B34</f>
        <v>0</v>
      </c>
      <c r="O32" s="7">
        <f>'Other Benefit 4'!B38</f>
        <v>0</v>
      </c>
      <c r="P32" s="157">
        <f t="shared" si="0"/>
        <v>0</v>
      </c>
      <c r="Q32" s="8">
        <f>IFERROR(((P32-G32)/(1.031)^(A32-Overview!$B$22))+((G32)/(1.02)^(A32-Overview!$B$22)),0)</f>
        <v>0</v>
      </c>
    </row>
    <row r="33" spans="1:17" x14ac:dyDescent="0.35">
      <c r="A33" s="1" t="str">
        <f>IF(A32&lt;'Project Information'!B$11,A32+1,"")</f>
        <v/>
      </c>
      <c r="B33" s="7">
        <f>'Operations and Maintenance'!D35</f>
        <v>0</v>
      </c>
      <c r="C33" s="7">
        <f>Safety!D49</f>
        <v>0</v>
      </c>
      <c r="D33" s="7">
        <f>'Travel Time Savings'!D47</f>
        <v>0</v>
      </c>
      <c r="E33" s="7">
        <f>'Vehicle Operating Cost Savings'!D53</f>
        <v>0</v>
      </c>
      <c r="F33" s="21">
        <f>'Emissions Reduction'!S60</f>
        <v>0</v>
      </c>
      <c r="G33" s="21">
        <f>'Emissions Reduction'!T60</f>
        <v>0</v>
      </c>
      <c r="H33" s="21">
        <f>'Other Highway Use Externalities'!B47</f>
        <v>0</v>
      </c>
      <c r="I33" s="7">
        <f>'Amenity Benefits'!B38</f>
        <v>0</v>
      </c>
      <c r="J33" s="7">
        <f>'Health Benefits'!B42</f>
        <v>0</v>
      </c>
      <c r="K33" s="7">
        <f>'Residual Value'!B50</f>
        <v>0</v>
      </c>
      <c r="L33" s="7">
        <f>'Other Benefit 1'!B35</f>
        <v>0</v>
      </c>
      <c r="M33" s="7">
        <f>'Other Benefit 2'!B35</f>
        <v>0</v>
      </c>
      <c r="N33" s="7">
        <f>'Other Benefit 3'!B35</f>
        <v>0</v>
      </c>
      <c r="O33" s="7">
        <f>'Other Benefit 4'!B39</f>
        <v>0</v>
      </c>
      <c r="P33" s="157">
        <f t="shared" si="0"/>
        <v>0</v>
      </c>
      <c r="Q33" s="8">
        <f>IFERROR(((P33-G33)/(1.031)^(A33-Overview!$B$22))+((G33)/(1.02)^(A33-Overview!$B$22)),0)</f>
        <v>0</v>
      </c>
    </row>
    <row r="34" spans="1:17" x14ac:dyDescent="0.35">
      <c r="A34" s="1" t="str">
        <f>IF(A33&lt;'Project Information'!B$11,A33+1,"")</f>
        <v/>
      </c>
      <c r="B34" s="7">
        <f>'Operations and Maintenance'!D36</f>
        <v>0</v>
      </c>
      <c r="C34" s="7">
        <f>Safety!D50</f>
        <v>0</v>
      </c>
      <c r="D34" s="7">
        <f>'Travel Time Savings'!D48</f>
        <v>0</v>
      </c>
      <c r="E34" s="7">
        <f>'Vehicle Operating Cost Savings'!D54</f>
        <v>0</v>
      </c>
      <c r="F34" s="21">
        <f>'Emissions Reduction'!S61</f>
        <v>0</v>
      </c>
      <c r="G34" s="21">
        <f>'Emissions Reduction'!T61</f>
        <v>0</v>
      </c>
      <c r="H34" s="21">
        <f>'Other Highway Use Externalities'!B48</f>
        <v>0</v>
      </c>
      <c r="I34" s="7">
        <f>'Amenity Benefits'!B39</f>
        <v>0</v>
      </c>
      <c r="J34" s="7">
        <f>'Health Benefits'!B43</f>
        <v>0</v>
      </c>
      <c r="K34" s="7">
        <f>'Residual Value'!B51</f>
        <v>0</v>
      </c>
      <c r="L34" s="7">
        <f>'Other Benefit 1'!B36</f>
        <v>0</v>
      </c>
      <c r="M34" s="7">
        <f>'Other Benefit 2'!B36</f>
        <v>0</v>
      </c>
      <c r="N34" s="7">
        <f>'Other Benefit 3'!B36</f>
        <v>0</v>
      </c>
      <c r="O34" s="7">
        <f>'Other Benefit 4'!B40</f>
        <v>0</v>
      </c>
      <c r="P34" s="157">
        <f t="shared" si="0"/>
        <v>0</v>
      </c>
      <c r="Q34" s="8">
        <f>IFERROR(((P34-G34)/(1.031)^(A34-Overview!$B$22))+((G34)/(1.02)^(A34-Overview!$B$22)),0)</f>
        <v>0</v>
      </c>
    </row>
    <row r="35" spans="1:17" x14ac:dyDescent="0.35">
      <c r="A35" s="1" t="str">
        <f>IF(A34&lt;'Project Information'!B$11,A34+1,"")</f>
        <v/>
      </c>
      <c r="B35" s="7">
        <f>'Operations and Maintenance'!D37</f>
        <v>0</v>
      </c>
      <c r="C35" s="7">
        <f>Safety!D51</f>
        <v>0</v>
      </c>
      <c r="D35" s="7">
        <f>'Travel Time Savings'!D49</f>
        <v>0</v>
      </c>
      <c r="E35" s="7">
        <f>'Vehicle Operating Cost Savings'!D55</f>
        <v>0</v>
      </c>
      <c r="F35" s="21">
        <f>'Emissions Reduction'!S62</f>
        <v>0</v>
      </c>
      <c r="G35" s="21">
        <f>'Emissions Reduction'!T62</f>
        <v>0</v>
      </c>
      <c r="H35" s="21">
        <f>'Other Highway Use Externalities'!B49</f>
        <v>0</v>
      </c>
      <c r="I35" s="7">
        <f>'Amenity Benefits'!B40</f>
        <v>0</v>
      </c>
      <c r="J35" s="7">
        <f>'Health Benefits'!B44</f>
        <v>0</v>
      </c>
      <c r="K35" s="7">
        <f>'Residual Value'!B52</f>
        <v>0</v>
      </c>
      <c r="L35" s="7">
        <f>'Other Benefit 1'!B37</f>
        <v>0</v>
      </c>
      <c r="M35" s="7">
        <f>'Other Benefit 2'!B37</f>
        <v>0</v>
      </c>
      <c r="N35" s="7">
        <f>'Other Benefit 3'!B37</f>
        <v>0</v>
      </c>
      <c r="O35" s="7">
        <f>'Other Benefit 4'!B41</f>
        <v>0</v>
      </c>
      <c r="P35" s="157">
        <f t="shared" si="0"/>
        <v>0</v>
      </c>
      <c r="Q35" s="8">
        <f>IFERROR(((P35-G35)/(1.031)^(A35-Overview!$B$22))+((G35)/(1.02)^(A35-Overview!$B$22)),0)</f>
        <v>0</v>
      </c>
    </row>
    <row r="36" spans="1:17" x14ac:dyDescent="0.35">
      <c r="A36" s="3" t="s">
        <v>336</v>
      </c>
      <c r="B36" s="170">
        <f>SUM(B6:B35)</f>
        <v>-5423095.5204370031</v>
      </c>
      <c r="C36" s="170">
        <f t="shared" ref="C36:O36" si="1">SUM(C6:C35)</f>
        <v>14053142.557017827</v>
      </c>
      <c r="D36" s="170">
        <f t="shared" si="1"/>
        <v>8234108.6786274621</v>
      </c>
      <c r="E36" s="170">
        <f t="shared" si="1"/>
        <v>0</v>
      </c>
      <c r="F36" s="173">
        <f t="shared" si="1"/>
        <v>0</v>
      </c>
      <c r="G36" s="173">
        <f t="shared" si="1"/>
        <v>0</v>
      </c>
      <c r="H36" s="173">
        <f t="shared" si="1"/>
        <v>0</v>
      </c>
      <c r="I36" s="170">
        <f t="shared" si="1"/>
        <v>62033076.408783942</v>
      </c>
      <c r="J36" s="170">
        <f t="shared" si="1"/>
        <v>8500680.9568307679</v>
      </c>
      <c r="K36" s="170">
        <f t="shared" si="1"/>
        <v>0</v>
      </c>
      <c r="L36" s="170">
        <f t="shared" si="1"/>
        <v>0</v>
      </c>
      <c r="M36" s="170">
        <f t="shared" si="1"/>
        <v>0</v>
      </c>
      <c r="N36" s="170">
        <f t="shared" si="1"/>
        <v>0</v>
      </c>
      <c r="O36" s="170">
        <f t="shared" si="1"/>
        <v>0</v>
      </c>
      <c r="P36" s="171">
        <f>SUM(P6:P35)</f>
        <v>98244104.121696994</v>
      </c>
      <c r="Q36" s="165"/>
    </row>
    <row r="37" spans="1:17" x14ac:dyDescent="0.35">
      <c r="A37" s="25" t="s">
        <v>179</v>
      </c>
      <c r="B37" s="170">
        <f>NPV(0.031,B6:B35)/(1.031)^($A$6-Overview!$B$22-1)</f>
        <v>-2969403.742649904</v>
      </c>
      <c r="C37" s="170">
        <f>NPV(0.031,C6:C35)/(1.031)^($A$6-Overview!$B$22-1)</f>
        <v>8096938.256339496</v>
      </c>
      <c r="D37" s="170">
        <f>NPV(0.031,D6:D35)/(1.031)^($A$6-Overview!$B$22-1)</f>
        <v>4744210.7198678991</v>
      </c>
      <c r="E37" s="170">
        <f>NPV(0.031,E6:E35)/(1.031)^($A$6-Overview!$B$22-1)</f>
        <v>0</v>
      </c>
      <c r="F37" s="37">
        <f>NPV(0.031,F6:F35)/(1.031)^($A$6-Overview!$B$22-1)</f>
        <v>0</v>
      </c>
      <c r="G37" s="37">
        <f>NPV(0.02,G6:G35)/(1.02)^($A$6-Overview!$B$22-1)</f>
        <v>0</v>
      </c>
      <c r="H37" s="37">
        <f>NPV(0.031,H6:H35)/(1.031)^($A$6-Overview!$B$22-1)</f>
        <v>0</v>
      </c>
      <c r="I37" s="170">
        <f>NPV(0.031,I6:I35)/(1.031)^($A$6-Overview!$B$22-1)</f>
        <v>35741328.851879261</v>
      </c>
      <c r="J37" s="170">
        <f>NPV(0.031,J6:J35)/(1.031)^($A$6-Overview!$B$22-1)</f>
        <v>4897800.5143716233</v>
      </c>
      <c r="K37" s="170">
        <f>NPV(0.031,K6:K35)/(1.031)^($A$6-Overview!$B$22-1)</f>
        <v>0</v>
      </c>
      <c r="L37" s="170">
        <f>NPV(0.031,L6:L35)/(1.031)^($A$6-Overview!$B$22-1)</f>
        <v>0</v>
      </c>
      <c r="M37" s="170">
        <f>NPV(0.031,M6:M35)/(1.031)^($A$6-Overview!$B$22-1)</f>
        <v>0</v>
      </c>
      <c r="N37" s="170">
        <f>NPV(0.031,N6:N35)/(1.031)^($A$6-Overview!$B$22-1)</f>
        <v>0</v>
      </c>
      <c r="O37" s="170">
        <f>NPV(0.031,O6:O35)/(1.031)^($A$6-Overview!$B$22-1)</f>
        <v>0</v>
      </c>
      <c r="P37" s="170">
        <f>NPV(0.031,P6:P35)/(1.031)^($A$6-Overview!$B$22-1)</f>
        <v>56449682.085108198</v>
      </c>
      <c r="Q37" s="165">
        <f>SUM(Q6:Q35)</f>
        <v>56449682.085108176</v>
      </c>
    </row>
    <row r="38" spans="1:17" x14ac:dyDescent="0.35">
      <c r="A38" s="5" t="s">
        <v>205</v>
      </c>
    </row>
    <row r="39" spans="1:17" x14ac:dyDescent="0.35">
      <c r="A39" s="97" t="s">
        <v>244</v>
      </c>
    </row>
    <row r="40" spans="1:17" x14ac:dyDescent="0.35">
      <c r="A40" s="110" t="s">
        <v>4</v>
      </c>
      <c r="B40" s="113" t="s">
        <v>5</v>
      </c>
      <c r="C40" s="108" t="s">
        <v>6</v>
      </c>
    </row>
    <row r="41" spans="1:17" x14ac:dyDescent="0.35">
      <c r="A41" s="121">
        <f>'Capital Costs'!A9</f>
        <v>2029</v>
      </c>
      <c r="B41" s="7">
        <f>'Capital Costs'!C9</f>
        <v>6390375.7102952981</v>
      </c>
      <c r="C41" s="18">
        <f>B41/(1.031)^(A41-Overview!$B$22)</f>
        <v>5320768.9535807343</v>
      </c>
    </row>
    <row r="42" spans="1:17" x14ac:dyDescent="0.35">
      <c r="A42" s="122">
        <f t="shared" ref="A42:A55" si="2">A41+1</f>
        <v>2030</v>
      </c>
      <c r="B42" s="7">
        <f>'Capital Costs'!C10</f>
        <v>12396461.125694081</v>
      </c>
      <c r="C42" s="18">
        <f>B42/(1.031)^(A42-Overview!$B$22)</f>
        <v>10011221.396797692</v>
      </c>
    </row>
    <row r="43" spans="1:17" x14ac:dyDescent="0.35">
      <c r="A43" s="122">
        <f t="shared" si="2"/>
        <v>2031</v>
      </c>
      <c r="B43" s="7">
        <f>'Capital Costs'!C11</f>
        <v>6011862.8155645402</v>
      </c>
      <c r="C43" s="18">
        <f>B43/(1.031)^(A43-Overview!$B$22)</f>
        <v>4709119.8062759088</v>
      </c>
    </row>
    <row r="44" spans="1:17" x14ac:dyDescent="0.35">
      <c r="A44" s="122">
        <f t="shared" si="2"/>
        <v>2032</v>
      </c>
      <c r="B44" s="7">
        <f>'Capital Costs'!C12</f>
        <v>0</v>
      </c>
      <c r="C44" s="18">
        <f>B44/(1.031)^(A44-Overview!$B$22)</f>
        <v>0</v>
      </c>
    </row>
    <row r="45" spans="1:17" x14ac:dyDescent="0.35">
      <c r="A45" s="122">
        <f t="shared" si="2"/>
        <v>2033</v>
      </c>
      <c r="B45" s="7">
        <f>'Capital Costs'!C13</f>
        <v>0</v>
      </c>
      <c r="C45" s="18">
        <f>B45/(1.031)^(A45-Overview!$B$22)</f>
        <v>0</v>
      </c>
      <c r="D45" s="36"/>
    </row>
    <row r="46" spans="1:17" x14ac:dyDescent="0.35">
      <c r="A46" s="122">
        <f t="shared" si="2"/>
        <v>2034</v>
      </c>
      <c r="B46" s="7">
        <f>'Capital Costs'!C14</f>
        <v>0</v>
      </c>
      <c r="C46" s="18">
        <f>B46/(1.031)^(A46-Overview!$B$22)</f>
        <v>0</v>
      </c>
      <c r="D46" s="36"/>
    </row>
    <row r="47" spans="1:17" x14ac:dyDescent="0.35">
      <c r="A47" s="122">
        <f t="shared" si="2"/>
        <v>2035</v>
      </c>
      <c r="B47" s="7">
        <f>'Capital Costs'!C15</f>
        <v>0</v>
      </c>
      <c r="C47" s="18">
        <f>B47/(1.031)^(A47-Overview!$B$22)</f>
        <v>0</v>
      </c>
      <c r="D47" s="36"/>
    </row>
    <row r="48" spans="1:17" x14ac:dyDescent="0.35">
      <c r="A48" s="122">
        <f t="shared" si="2"/>
        <v>2036</v>
      </c>
      <c r="B48" s="7">
        <f>'Capital Costs'!C16</f>
        <v>0</v>
      </c>
      <c r="C48" s="18">
        <f>B48/(1.031)^(A48-Overview!$B$22)</f>
        <v>0</v>
      </c>
      <c r="D48" s="36"/>
    </row>
    <row r="49" spans="1:4" x14ac:dyDescent="0.35">
      <c r="A49" s="122">
        <f t="shared" si="2"/>
        <v>2037</v>
      </c>
      <c r="B49" s="7">
        <f>'Capital Costs'!C17</f>
        <v>0</v>
      </c>
      <c r="C49" s="18">
        <f>B49/(1.031)^(A49-Overview!$B$22)</f>
        <v>0</v>
      </c>
      <c r="D49" s="36"/>
    </row>
    <row r="50" spans="1:4" x14ac:dyDescent="0.35">
      <c r="A50" s="122">
        <f t="shared" si="2"/>
        <v>2038</v>
      </c>
      <c r="B50" s="7">
        <f>'Capital Costs'!C18</f>
        <v>0</v>
      </c>
      <c r="C50" s="18">
        <f>B50/(1.031)^(A50-Overview!$B$22)</f>
        <v>0</v>
      </c>
    </row>
    <row r="51" spans="1:4" x14ac:dyDescent="0.35">
      <c r="A51" s="122">
        <f t="shared" si="2"/>
        <v>2039</v>
      </c>
      <c r="B51" s="7">
        <f>'Capital Costs'!C19</f>
        <v>0</v>
      </c>
      <c r="C51" s="18">
        <f>B51/(1.031)^(A51-Overview!$B$22)</f>
        <v>0</v>
      </c>
    </row>
    <row r="52" spans="1:4" x14ac:dyDescent="0.35">
      <c r="A52" s="122">
        <f t="shared" si="2"/>
        <v>2040</v>
      </c>
      <c r="B52" s="7">
        <f>'Capital Costs'!C20</f>
        <v>0</v>
      </c>
      <c r="C52" s="18">
        <f>B52/(1.031)^(A52-Overview!$B$22)</f>
        <v>0</v>
      </c>
    </row>
    <row r="53" spans="1:4" x14ac:dyDescent="0.35">
      <c r="A53" s="122">
        <f t="shared" si="2"/>
        <v>2041</v>
      </c>
      <c r="B53" s="7">
        <f>'Capital Costs'!C21</f>
        <v>0</v>
      </c>
      <c r="C53" s="18">
        <f>B53/(1.031)^(A53-Overview!$B$22)</f>
        <v>0</v>
      </c>
    </row>
    <row r="54" spans="1:4" x14ac:dyDescent="0.35">
      <c r="A54" s="122">
        <f t="shared" si="2"/>
        <v>2042</v>
      </c>
      <c r="B54" s="7">
        <f>'Capital Costs'!C22</f>
        <v>0</v>
      </c>
      <c r="C54" s="18">
        <f>B54/(1.031)^(A54-Overview!$B$22)</f>
        <v>0</v>
      </c>
    </row>
    <row r="55" spans="1:4" x14ac:dyDescent="0.35">
      <c r="A55" s="122">
        <f t="shared" si="2"/>
        <v>2043</v>
      </c>
      <c r="B55" s="7">
        <f>'Capital Costs'!C23</f>
        <v>0</v>
      </c>
      <c r="C55" s="18">
        <f>B55/(1.031)^(A55-Overview!$B$22)</f>
        <v>0</v>
      </c>
    </row>
    <row r="56" spans="1:4" x14ac:dyDescent="0.35">
      <c r="A56" s="25" t="s">
        <v>21</v>
      </c>
      <c r="B56" s="170">
        <f>SUM(B41:B55)</f>
        <v>24798699.651553918</v>
      </c>
      <c r="C56" s="172">
        <f>SUM(C41:C55)+'Capital Costs'!A5</f>
        <v>20041110.156654336</v>
      </c>
      <c r="D56" s="36"/>
    </row>
    <row r="57" spans="1:4" x14ac:dyDescent="0.35">
      <c r="C57" s="36"/>
      <c r="D57" s="36"/>
    </row>
    <row r="58" spans="1:4" x14ac:dyDescent="0.35">
      <c r="C58" s="36"/>
      <c r="D58" s="36"/>
    </row>
    <row r="59" spans="1:4" x14ac:dyDescent="0.35">
      <c r="C59" s="36"/>
      <c r="D59" s="36"/>
    </row>
    <row r="60" spans="1:4" x14ac:dyDescent="0.35">
      <c r="C60" s="36"/>
      <c r="D60" s="36"/>
    </row>
    <row r="61" spans="1:4" x14ac:dyDescent="0.35">
      <c r="C61" s="36"/>
      <c r="D61" s="36"/>
    </row>
    <row r="62" spans="1:4" x14ac:dyDescent="0.35">
      <c r="C62" s="36"/>
      <c r="D62" s="36"/>
    </row>
    <row r="63" spans="1:4" x14ac:dyDescent="0.35">
      <c r="D63" s="36"/>
    </row>
    <row r="65" spans="3:3" x14ac:dyDescent="0.35">
      <c r="C65" s="29"/>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C8"/>
  <sheetViews>
    <sheetView workbookViewId="0"/>
  </sheetViews>
  <sheetFormatPr defaultColWidth="8.7265625" defaultRowHeight="14.5" x14ac:dyDescent="0.35"/>
  <cols>
    <col min="1" max="1" width="41.26953125" style="5" customWidth="1"/>
    <col min="2" max="2" width="31.453125" style="5" customWidth="1"/>
    <col min="3" max="16384" width="8.7265625" style="5"/>
  </cols>
  <sheetData>
    <row r="1" spans="1:3" ht="20" thickBot="1" x14ac:dyDescent="0.5">
      <c r="A1" s="96" t="s">
        <v>220</v>
      </c>
    </row>
    <row r="2" spans="1:3" ht="19" thickTop="1" x14ac:dyDescent="0.35">
      <c r="A2" s="104" t="s">
        <v>205</v>
      </c>
    </row>
    <row r="3" spans="1:3" x14ac:dyDescent="0.35">
      <c r="A3" s="97" t="s">
        <v>217</v>
      </c>
    </row>
    <row r="4" spans="1:3" x14ac:dyDescent="0.35">
      <c r="A4" s="106" t="s">
        <v>33</v>
      </c>
      <c r="B4" s="106" t="s">
        <v>214</v>
      </c>
    </row>
    <row r="5" spans="1:3" x14ac:dyDescent="0.35">
      <c r="A5" s="98" t="s">
        <v>0</v>
      </c>
      <c r="B5" s="105">
        <f>Summary!Q37</f>
        <v>56449682.085108176</v>
      </c>
    </row>
    <row r="6" spans="1:3" x14ac:dyDescent="0.35">
      <c r="A6" s="98" t="s">
        <v>1</v>
      </c>
      <c r="B6" s="105">
        <f>Summary!C56</f>
        <v>20041110.156654336</v>
      </c>
    </row>
    <row r="7" spans="1:3" x14ac:dyDescent="0.35">
      <c r="A7" s="98" t="s">
        <v>2</v>
      </c>
      <c r="B7" s="105">
        <f>B5-B6</f>
        <v>36408571.92845384</v>
      </c>
    </row>
    <row r="8" spans="1:3" x14ac:dyDescent="0.35">
      <c r="A8" s="98" t="s">
        <v>3</v>
      </c>
      <c r="B8" s="145">
        <f>IFERROR(B5/B6, "Enter Costs in 'Capital Cost' sheet")</f>
        <v>2.8166943669218316</v>
      </c>
      <c r="C8" s="5" t="s">
        <v>265</v>
      </c>
    </row>
  </sheetData>
  <conditionalFormatting sqref="A4:B4">
    <cfRule type="expression" dxfId="6" priority="1">
      <formula>ISNUMBER(SEARCH("_sns",A$4))</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0" tint="-4.9989318521683403E-2"/>
  </sheetPr>
  <dimension ref="A1:BA99"/>
  <sheetViews>
    <sheetView workbookViewId="0"/>
  </sheetViews>
  <sheetFormatPr defaultColWidth="9.1796875" defaultRowHeight="14.5" x14ac:dyDescent="0.35"/>
  <cols>
    <col min="1" max="1" width="32" style="5" customWidth="1"/>
    <col min="2" max="2" width="24.453125" style="5" customWidth="1"/>
    <col min="3" max="3" width="25.7265625" style="5" customWidth="1"/>
    <col min="4" max="4" width="24.453125" style="5" customWidth="1"/>
    <col min="5" max="10" width="9.1796875" style="5"/>
    <col min="11" max="11" width="10.26953125" style="5" customWidth="1"/>
    <col min="12" max="16384" width="9.1796875" style="5"/>
  </cols>
  <sheetData>
    <row r="1" spans="1:11" ht="20" thickBot="1" x14ac:dyDescent="0.5">
      <c r="A1" s="96" t="s">
        <v>335</v>
      </c>
    </row>
    <row r="2" spans="1:11" ht="15" thickTop="1" x14ac:dyDescent="0.35">
      <c r="A2" s="152" t="s">
        <v>245</v>
      </c>
      <c r="B2" s="152"/>
      <c r="C2" s="152"/>
      <c r="D2" s="152"/>
      <c r="E2" s="152"/>
      <c r="F2" s="152"/>
      <c r="G2" s="152"/>
      <c r="H2" s="152"/>
      <c r="I2" s="152"/>
    </row>
    <row r="3" spans="1:11" x14ac:dyDescent="0.35">
      <c r="A3" s="5" t="s">
        <v>205</v>
      </c>
    </row>
    <row r="4" spans="1:11" x14ac:dyDescent="0.35">
      <c r="A4" s="153" t="s">
        <v>357</v>
      </c>
      <c r="B4" s="152"/>
      <c r="C4" s="152"/>
      <c r="D4" s="152"/>
      <c r="E4" s="152"/>
      <c r="F4" s="152"/>
      <c r="G4" s="152"/>
      <c r="H4" s="152"/>
      <c r="I4" s="152"/>
      <c r="J4" s="152"/>
      <c r="K4" s="152"/>
    </row>
    <row r="5" spans="1:11" x14ac:dyDescent="0.35">
      <c r="A5" s="38" t="s">
        <v>205</v>
      </c>
    </row>
    <row r="6" spans="1:11" x14ac:dyDescent="0.35">
      <c r="A6" s="97" t="s">
        <v>246</v>
      </c>
    </row>
    <row r="7" spans="1:11" x14ac:dyDescent="0.35">
      <c r="A7" s="117" t="s">
        <v>144</v>
      </c>
      <c r="B7" s="160" t="s">
        <v>259</v>
      </c>
      <c r="C7" s="161" t="s">
        <v>260</v>
      </c>
      <c r="D7" s="162" t="s">
        <v>261</v>
      </c>
    </row>
    <row r="8" spans="1:11" x14ac:dyDescent="0.35">
      <c r="A8" s="43" t="str">
        <f>'Parameter Values'!A231</f>
        <v>Light-Duty Vehicles - Urban</v>
      </c>
      <c r="B8" s="143">
        <f>'Parameter Values'!B231</f>
        <v>0.14299999999999999</v>
      </c>
      <c r="C8" s="144">
        <f>'Parameter Values'!C231</f>
        <v>2E-3</v>
      </c>
      <c r="D8" s="142">
        <f>'Parameter Values'!D231</f>
        <v>1.7999999999999999E-2</v>
      </c>
    </row>
    <row r="9" spans="1:11" x14ac:dyDescent="0.35">
      <c r="A9" s="43" t="str">
        <f>'Parameter Values'!A232</f>
        <v>Light-Duty Vehicles - Rural</v>
      </c>
      <c r="B9" s="143">
        <f>'Parameter Values'!B232</f>
        <v>0.03</v>
      </c>
      <c r="C9" s="144">
        <f>'Parameter Values'!C232</f>
        <v>2.0000000000000001E-4</v>
      </c>
      <c r="D9" s="142">
        <f>'Parameter Values'!D232</f>
        <v>0.10199999999999999</v>
      </c>
    </row>
    <row r="10" spans="1:11" x14ac:dyDescent="0.35">
      <c r="A10" s="43" t="str">
        <f>'Parameter Values'!A233</f>
        <v>Light-Duty Vehicles – All Locations</v>
      </c>
      <c r="B10" s="143">
        <f>'Parameter Values'!B233</f>
        <v>0.12</v>
      </c>
      <c r="C10" s="144">
        <f>'Parameter Values'!C233</f>
        <v>1.1000000000000001E-3</v>
      </c>
      <c r="D10" s="142">
        <f>'Parameter Values'!D233</f>
        <v>4.2000000000000003E-2</v>
      </c>
    </row>
    <row r="11" spans="1:11" x14ac:dyDescent="0.35">
      <c r="A11" s="43" t="str">
        <f>'Parameter Values'!A234</f>
        <v>Buses and Trucks - Urban</v>
      </c>
      <c r="B11" s="143">
        <f>'Parameter Values'!B234</f>
        <v>0.35799999999999998</v>
      </c>
      <c r="C11" s="144">
        <f>'Parameter Values'!C234</f>
        <v>4.53E-2</v>
      </c>
      <c r="D11" s="142">
        <f>'Parameter Values'!D234</f>
        <v>1.7000000000000001E-2</v>
      </c>
    </row>
    <row r="12" spans="1:11" x14ac:dyDescent="0.35">
      <c r="A12" s="43" t="str">
        <f>'Parameter Values'!A235</f>
        <v>Buses and Trucks - Rural</v>
      </c>
      <c r="B12" s="143">
        <f>'Parameter Values'!B235</f>
        <v>7.8E-2</v>
      </c>
      <c r="C12" s="144">
        <f>'Parameter Values'!C235</f>
        <v>3.8E-3</v>
      </c>
      <c r="D12" s="142">
        <f>'Parameter Values'!D235</f>
        <v>2.9000000000000001E-2</v>
      </c>
    </row>
    <row r="13" spans="1:11" x14ac:dyDescent="0.35">
      <c r="A13" s="43" t="str">
        <f>'Parameter Values'!A236</f>
        <v>Buses and Trucks – All Locations</v>
      </c>
      <c r="B13" s="143">
        <f>'Parameter Values'!B236</f>
        <v>0.245</v>
      </c>
      <c r="C13" s="144">
        <f>'Parameter Values'!C236</f>
        <v>2.2800000000000001E-2</v>
      </c>
      <c r="D13" s="142">
        <f>'Parameter Values'!D236</f>
        <v>2.1999999999999999E-2</v>
      </c>
    </row>
    <row r="14" spans="1:11" x14ac:dyDescent="0.35">
      <c r="A14" s="43" t="str">
        <f>'Parameter Values'!A237</f>
        <v>All Vehicles - Urban</v>
      </c>
      <c r="B14" s="143">
        <f>'Parameter Values'!B237</f>
        <v>0.159</v>
      </c>
      <c r="C14" s="144">
        <f>'Parameter Values'!C237</f>
        <v>5.3E-3</v>
      </c>
      <c r="D14" s="142">
        <f>'Parameter Values'!D237</f>
        <v>1.7999999999999999E-2</v>
      </c>
    </row>
    <row r="15" spans="1:11" x14ac:dyDescent="0.35">
      <c r="A15" s="43" t="str">
        <f>'Parameter Values'!A238</f>
        <v>All Vehicles - Rural</v>
      </c>
      <c r="B15" s="143">
        <f>'Parameter Values'!B238</f>
        <v>3.6999999999999998E-2</v>
      </c>
      <c r="C15" s="144">
        <f>'Parameter Values'!C238</f>
        <v>6.9999999999999999E-4</v>
      </c>
      <c r="D15" s="142">
        <f>'Parameter Values'!D238</f>
        <v>9.0999999999999998E-2</v>
      </c>
    </row>
    <row r="16" spans="1:11" x14ac:dyDescent="0.35">
      <c r="A16" s="43" t="str">
        <f>'Parameter Values'!A239</f>
        <v>All Vehicles – All Locations</v>
      </c>
      <c r="B16" s="143">
        <f>'Parameter Values'!B239</f>
        <v>0.13300000000000001</v>
      </c>
      <c r="C16" s="144">
        <f>'Parameter Values'!C239</f>
        <v>3.2000000000000002E-3</v>
      </c>
      <c r="D16" s="142">
        <f>'Parameter Values'!D239</f>
        <v>0.04</v>
      </c>
    </row>
    <row r="17" spans="1:53" x14ac:dyDescent="0.35">
      <c r="A17" s="38" t="s">
        <v>205</v>
      </c>
    </row>
    <row r="18" spans="1:53" ht="15" thickBot="1" x14ac:dyDescent="0.4">
      <c r="A18" s="97" t="s">
        <v>262</v>
      </c>
    </row>
    <row r="19" spans="1:53" x14ac:dyDescent="0.35">
      <c r="A19" s="107" t="s">
        <v>4</v>
      </c>
      <c r="B19" s="108" t="s">
        <v>258</v>
      </c>
      <c r="F19" s="10" t="s">
        <v>161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x14ac:dyDescent="0.35">
      <c r="A20" s="6">
        <f>'Project Information'!$B$9</f>
        <v>2032</v>
      </c>
      <c r="B20" s="164">
        <v>0</v>
      </c>
      <c r="F20" s="1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4"/>
    </row>
    <row r="21" spans="1:53" x14ac:dyDescent="0.35">
      <c r="A21" s="1">
        <f>IF(A20&lt;'Project Information'!B$11,A20+1,"")</f>
        <v>2033</v>
      </c>
      <c r="B21" s="164">
        <v>0</v>
      </c>
      <c r="F21" s="1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4"/>
    </row>
    <row r="22" spans="1:53" x14ac:dyDescent="0.35">
      <c r="A22" s="1">
        <f>IF(A21&lt;'Project Information'!B$11,A21+1,"")</f>
        <v>2034</v>
      </c>
      <c r="B22" s="164">
        <v>0</v>
      </c>
      <c r="F22" s="1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4"/>
    </row>
    <row r="23" spans="1:53" x14ac:dyDescent="0.35">
      <c r="A23" s="1">
        <f>IF(A22&lt;'Project Information'!B$11,A22+1,"")</f>
        <v>2035</v>
      </c>
      <c r="B23" s="164">
        <v>0</v>
      </c>
      <c r="F23" s="1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4"/>
    </row>
    <row r="24" spans="1:53" x14ac:dyDescent="0.35">
      <c r="A24" s="1">
        <f>IF(A23&lt;'Project Information'!B$11,A23+1,"")</f>
        <v>2036</v>
      </c>
      <c r="B24" s="164">
        <v>0</v>
      </c>
      <c r="F24" s="13"/>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4"/>
    </row>
    <row r="25" spans="1:53" x14ac:dyDescent="0.35">
      <c r="A25" s="1">
        <f>IF(A24&lt;'Project Information'!B$11,A24+1,"")</f>
        <v>2037</v>
      </c>
      <c r="B25" s="164">
        <v>0</v>
      </c>
      <c r="F25" s="13"/>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4"/>
    </row>
    <row r="26" spans="1:53" x14ac:dyDescent="0.35">
      <c r="A26" s="1">
        <f>IF(A25&lt;'Project Information'!B$11,A25+1,"")</f>
        <v>2038</v>
      </c>
      <c r="B26" s="164">
        <v>0</v>
      </c>
      <c r="F26" s="13"/>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4"/>
    </row>
    <row r="27" spans="1:53" x14ac:dyDescent="0.35">
      <c r="A27" s="1">
        <f>IF(A26&lt;'Project Information'!B$11,A26+1,"")</f>
        <v>2039</v>
      </c>
      <c r="B27" s="164">
        <v>0</v>
      </c>
      <c r="F27" s="13"/>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4"/>
    </row>
    <row r="28" spans="1:53" x14ac:dyDescent="0.35">
      <c r="A28" s="1">
        <f>IF(A27&lt;'Project Information'!B$11,A27+1,"")</f>
        <v>2040</v>
      </c>
      <c r="B28" s="164">
        <v>0</v>
      </c>
      <c r="F28" s="13"/>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4"/>
    </row>
    <row r="29" spans="1:53" x14ac:dyDescent="0.35">
      <c r="A29" s="1">
        <f>IF(A28&lt;'Project Information'!B$11,A28+1,"")</f>
        <v>2041</v>
      </c>
      <c r="B29" s="164">
        <v>0</v>
      </c>
      <c r="F29" s="1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4"/>
    </row>
    <row r="30" spans="1:53" x14ac:dyDescent="0.35">
      <c r="A30" s="1">
        <f>IF(A29&lt;'Project Information'!B$11,A29+1,"")</f>
        <v>2042</v>
      </c>
      <c r="B30" s="164">
        <v>0</v>
      </c>
      <c r="F30" s="13"/>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4"/>
    </row>
    <row r="31" spans="1:53" x14ac:dyDescent="0.35">
      <c r="A31" s="1">
        <f>IF(A30&lt;'Project Information'!B$11,A30+1,"")</f>
        <v>2043</v>
      </c>
      <c r="B31" s="164">
        <v>0</v>
      </c>
      <c r="F31" s="1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4"/>
    </row>
    <row r="32" spans="1:53" x14ac:dyDescent="0.35">
      <c r="A32" s="1">
        <f>IF(A31&lt;'Project Information'!B$11,A31+1,"")</f>
        <v>2044</v>
      </c>
      <c r="B32" s="164">
        <v>0</v>
      </c>
      <c r="F32" s="13"/>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3" x14ac:dyDescent="0.35">
      <c r="A33" s="1">
        <f>IF(A32&lt;'Project Information'!B$11,A32+1,"")</f>
        <v>2045</v>
      </c>
      <c r="B33" s="164">
        <v>0</v>
      </c>
      <c r="F33" s="1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4"/>
    </row>
    <row r="34" spans="1:53" x14ac:dyDescent="0.35">
      <c r="A34" s="1">
        <f>IF(A33&lt;'Project Information'!B$11,A33+1,"")</f>
        <v>2046</v>
      </c>
      <c r="B34" s="164">
        <v>0</v>
      </c>
      <c r="F34" s="1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4"/>
    </row>
    <row r="35" spans="1:53" x14ac:dyDescent="0.35">
      <c r="A35" s="1">
        <f>IF(A34&lt;'Project Information'!B$11,A34+1,"")</f>
        <v>2047</v>
      </c>
      <c r="B35" s="164">
        <v>0</v>
      </c>
      <c r="F35" s="1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4"/>
    </row>
    <row r="36" spans="1:53" x14ac:dyDescent="0.35">
      <c r="A36" s="1">
        <f>IF(A35&lt;'Project Information'!B$11,A35+1,"")</f>
        <v>2048</v>
      </c>
      <c r="B36" s="164">
        <v>0</v>
      </c>
      <c r="F36" s="1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4"/>
    </row>
    <row r="37" spans="1:53" x14ac:dyDescent="0.35">
      <c r="A37" s="1">
        <f>IF(A36&lt;'Project Information'!B$11,A36+1,"")</f>
        <v>2049</v>
      </c>
      <c r="B37" s="164">
        <v>0</v>
      </c>
      <c r="F37" s="1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4"/>
    </row>
    <row r="38" spans="1:53" x14ac:dyDescent="0.35">
      <c r="A38" s="1">
        <f>IF(A37&lt;'Project Information'!B$11,A37+1,"")</f>
        <v>2050</v>
      </c>
      <c r="B38" s="164">
        <v>0</v>
      </c>
      <c r="F38" s="1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4"/>
    </row>
    <row r="39" spans="1:53" x14ac:dyDescent="0.35">
      <c r="A39" s="1">
        <f>IF(A38&lt;'Project Information'!B$11,A38+1,"")</f>
        <v>2051</v>
      </c>
      <c r="B39" s="164">
        <v>0</v>
      </c>
      <c r="F39" s="13"/>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4"/>
    </row>
    <row r="40" spans="1:53" x14ac:dyDescent="0.35">
      <c r="A40" s="1" t="str">
        <f>IF(A39&lt;'Project Information'!B$11,A39+1,"")</f>
        <v/>
      </c>
      <c r="B40" s="164">
        <v>0</v>
      </c>
      <c r="F40" s="1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4"/>
    </row>
    <row r="41" spans="1:53" x14ac:dyDescent="0.35">
      <c r="A41" s="1" t="str">
        <f>IF(A40&lt;'Project Information'!B$11,A40+1,"")</f>
        <v/>
      </c>
      <c r="B41" s="164">
        <v>0</v>
      </c>
      <c r="F41" s="13"/>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4"/>
    </row>
    <row r="42" spans="1:53" x14ac:dyDescent="0.35">
      <c r="A42" s="1" t="str">
        <f>IF(A41&lt;'Project Information'!B$11,A41+1,"")</f>
        <v/>
      </c>
      <c r="B42" s="164">
        <v>0</v>
      </c>
      <c r="F42" s="13"/>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4"/>
    </row>
    <row r="43" spans="1:53" x14ac:dyDescent="0.35">
      <c r="A43" s="1" t="str">
        <f>IF(A42&lt;'Project Information'!B$11,A42+1,"")</f>
        <v/>
      </c>
      <c r="B43" s="164">
        <v>0</v>
      </c>
      <c r="F43" s="1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4"/>
    </row>
    <row r="44" spans="1:53" x14ac:dyDescent="0.35">
      <c r="A44" s="1" t="str">
        <f>IF(A43&lt;'Project Information'!B$11,A43+1,"")</f>
        <v/>
      </c>
      <c r="B44" s="164">
        <v>0</v>
      </c>
      <c r="F44" s="13"/>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4"/>
    </row>
    <row r="45" spans="1:53" x14ac:dyDescent="0.35">
      <c r="A45" s="1" t="str">
        <f>IF(A44&lt;'Project Information'!B$11,A44+1,"")</f>
        <v/>
      </c>
      <c r="B45" s="164">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4"/>
    </row>
    <row r="46" spans="1:53" x14ac:dyDescent="0.35">
      <c r="A46" s="1" t="str">
        <f>IF(A45&lt;'Project Information'!B$11,A45+1,"")</f>
        <v/>
      </c>
      <c r="B46" s="164">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4"/>
    </row>
    <row r="47" spans="1:53" x14ac:dyDescent="0.35">
      <c r="A47" s="1" t="str">
        <f>IF(A46&lt;'Project Information'!B$11,A46+1,"")</f>
        <v/>
      </c>
      <c r="B47" s="164">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4"/>
    </row>
    <row r="48" spans="1:53" x14ac:dyDescent="0.35">
      <c r="A48" s="1" t="str">
        <f>IF(A47&lt;'Project Information'!B$11,A47+1,"")</f>
        <v/>
      </c>
      <c r="B48" s="164">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4"/>
    </row>
    <row r="49" spans="1:53" x14ac:dyDescent="0.35">
      <c r="A49" s="2" t="str">
        <f>IF(A48&lt;'Project Information'!B$11,A48+1,"")</f>
        <v/>
      </c>
      <c r="B49" s="120">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4"/>
    </row>
    <row r="50" spans="1:53" x14ac:dyDescent="0.35">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4"/>
    </row>
    <row r="51" spans="1:53" x14ac:dyDescent="0.35">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4"/>
    </row>
    <row r="52" spans="1:53" x14ac:dyDescent="0.35">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4"/>
    </row>
    <row r="53" spans="1:53" x14ac:dyDescent="0.35">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4"/>
    </row>
    <row r="54" spans="1:53" x14ac:dyDescent="0.35">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4"/>
    </row>
    <row r="55" spans="1:53" x14ac:dyDescent="0.35">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4"/>
    </row>
    <row r="56" spans="1:53" x14ac:dyDescent="0.35">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4"/>
    </row>
    <row r="57" spans="1:53" x14ac:dyDescent="0.35">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4"/>
    </row>
    <row r="58" spans="1:53" x14ac:dyDescent="0.35">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4"/>
    </row>
    <row r="59" spans="1:53" x14ac:dyDescent="0.35">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4"/>
    </row>
    <row r="60" spans="1:53" x14ac:dyDescent="0.35">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4"/>
    </row>
    <row r="61" spans="1:53" x14ac:dyDescent="0.35">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4"/>
    </row>
    <row r="62" spans="1:53" x14ac:dyDescent="0.35">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4"/>
    </row>
    <row r="63" spans="1:53" x14ac:dyDescent="0.35">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4"/>
    </row>
    <row r="64" spans="1:53" x14ac:dyDescent="0.35">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4"/>
    </row>
    <row r="65" spans="6:53" x14ac:dyDescent="0.35">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4"/>
    </row>
    <row r="66" spans="6:53" x14ac:dyDescent="0.35">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4"/>
    </row>
    <row r="67" spans="6:53" x14ac:dyDescent="0.35">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4"/>
    </row>
    <row r="68" spans="6:53" x14ac:dyDescent="0.35">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4"/>
    </row>
    <row r="69" spans="6:53" x14ac:dyDescent="0.35">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4"/>
    </row>
    <row r="70" spans="6:53" x14ac:dyDescent="0.35">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4"/>
    </row>
    <row r="71" spans="6:53" x14ac:dyDescent="0.35">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4"/>
    </row>
    <row r="72" spans="6:53" x14ac:dyDescent="0.35">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4"/>
    </row>
    <row r="73" spans="6:53" x14ac:dyDescent="0.35">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4"/>
    </row>
    <row r="74" spans="6:53" x14ac:dyDescent="0.35">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4"/>
    </row>
    <row r="75" spans="6:53" x14ac:dyDescent="0.35">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4"/>
    </row>
    <row r="76" spans="6:53" x14ac:dyDescent="0.35">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4"/>
    </row>
    <row r="77" spans="6:53" x14ac:dyDescent="0.35">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4"/>
    </row>
    <row r="78" spans="6:53" x14ac:dyDescent="0.35">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4"/>
    </row>
    <row r="79" spans="6:53" x14ac:dyDescent="0.35">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4"/>
    </row>
    <row r="80" spans="6:53" x14ac:dyDescent="0.35">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4"/>
    </row>
    <row r="81" spans="6:53" x14ac:dyDescent="0.35">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4"/>
    </row>
    <row r="82" spans="6:53" x14ac:dyDescent="0.35">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4"/>
    </row>
    <row r="83" spans="6:53" x14ac:dyDescent="0.35">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4"/>
    </row>
    <row r="84" spans="6:53" x14ac:dyDescent="0.35">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4"/>
    </row>
    <row r="85" spans="6:53" x14ac:dyDescent="0.35">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4"/>
    </row>
    <row r="86" spans="6:53" x14ac:dyDescent="0.35">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4"/>
    </row>
    <row r="87" spans="6:53" x14ac:dyDescent="0.35">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4"/>
    </row>
    <row r="88" spans="6:53" x14ac:dyDescent="0.35">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4"/>
    </row>
    <row r="89" spans="6:53" x14ac:dyDescent="0.35">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4"/>
    </row>
    <row r="90" spans="6:53" x14ac:dyDescent="0.35">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4"/>
    </row>
    <row r="91" spans="6:53" x14ac:dyDescent="0.35">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4"/>
    </row>
    <row r="92" spans="6:53" x14ac:dyDescent="0.35">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4"/>
    </row>
    <row r="93" spans="6:53" x14ac:dyDescent="0.35">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4"/>
    </row>
    <row r="94" spans="6:53" x14ac:dyDescent="0.35">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4"/>
    </row>
    <row r="95" spans="6:53" x14ac:dyDescent="0.35">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4"/>
    </row>
    <row r="96" spans="6:53" x14ac:dyDescent="0.35">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4"/>
    </row>
    <row r="97" spans="6:53" x14ac:dyDescent="0.35">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4"/>
    </row>
    <row r="98" spans="6:53" x14ac:dyDescent="0.35">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4"/>
    </row>
    <row r="99" spans="6:53" ht="15" thickBot="1" x14ac:dyDescent="0.4">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7"/>
    </row>
  </sheetData>
  <conditionalFormatting sqref="B20:B49">
    <cfRule type="expression" dxfId="5" priority="1">
      <formula>A20=""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0" tint="-4.9989318521683403E-2"/>
  </sheetPr>
  <dimension ref="A1:AZ102"/>
  <sheetViews>
    <sheetView zoomScaleNormal="100" workbookViewId="0"/>
  </sheetViews>
  <sheetFormatPr defaultColWidth="9.1796875" defaultRowHeight="14.5" x14ac:dyDescent="0.35"/>
  <cols>
    <col min="1" max="1" width="33.54296875" style="5" customWidth="1"/>
    <col min="2" max="2" width="30" style="5" customWidth="1"/>
    <col min="3" max="3" width="21.81640625" style="5" customWidth="1"/>
    <col min="4" max="4" width="17.81640625" style="5" customWidth="1"/>
    <col min="5" max="16384" width="9.1796875" style="5"/>
  </cols>
  <sheetData>
    <row r="1" spans="1:11" ht="20" thickBot="1" x14ac:dyDescent="0.5">
      <c r="A1" s="96" t="s">
        <v>20</v>
      </c>
    </row>
    <row r="2" spans="1:11" ht="15" thickTop="1" x14ac:dyDescent="0.35">
      <c r="A2" s="152" t="s">
        <v>245</v>
      </c>
      <c r="B2" s="152"/>
      <c r="C2" s="152"/>
      <c r="D2" s="152"/>
      <c r="E2" s="152"/>
      <c r="F2" s="152"/>
      <c r="G2" s="152"/>
      <c r="H2" s="152"/>
    </row>
    <row r="3" spans="1:11" x14ac:dyDescent="0.35">
      <c r="A3" s="5" t="s">
        <v>205</v>
      </c>
    </row>
    <row r="4" spans="1:11" x14ac:dyDescent="0.35">
      <c r="A4" s="153" t="s">
        <v>357</v>
      </c>
      <c r="B4" s="152"/>
      <c r="C4" s="152"/>
      <c r="D4" s="152"/>
      <c r="E4" s="152"/>
      <c r="F4" s="152"/>
      <c r="G4" s="152"/>
      <c r="H4" s="152"/>
      <c r="I4" s="152"/>
      <c r="J4" s="152"/>
      <c r="K4" s="152"/>
    </row>
    <row r="5" spans="1:11" x14ac:dyDescent="0.35">
      <c r="A5" s="5" t="s">
        <v>205</v>
      </c>
    </row>
    <row r="6" spans="1:11" x14ac:dyDescent="0.35">
      <c r="A6" s="153" t="s">
        <v>312</v>
      </c>
      <c r="B6" s="152"/>
      <c r="C6" s="152"/>
      <c r="D6" s="152"/>
      <c r="E6" s="152"/>
      <c r="F6" s="152"/>
    </row>
    <row r="7" spans="1:11" x14ac:dyDescent="0.35">
      <c r="A7" s="153" t="s">
        <v>315</v>
      </c>
      <c r="B7" s="152"/>
      <c r="C7" s="152"/>
      <c r="D7" s="152"/>
      <c r="E7" s="152"/>
      <c r="F7" s="152"/>
      <c r="G7" s="152"/>
      <c r="H7" s="152"/>
      <c r="I7" s="152"/>
    </row>
    <row r="8" spans="1:11" x14ac:dyDescent="0.35">
      <c r="A8" s="153" t="s">
        <v>317</v>
      </c>
      <c r="B8" s="152"/>
      <c r="C8" s="152"/>
      <c r="D8" s="152"/>
      <c r="E8" s="152"/>
      <c r="F8" s="152"/>
    </row>
    <row r="9" spans="1:11" x14ac:dyDescent="0.35">
      <c r="A9" s="97" t="s">
        <v>301</v>
      </c>
    </row>
    <row r="10" spans="1:11" x14ac:dyDescent="0.35">
      <c r="A10" s="117" t="s">
        <v>302</v>
      </c>
      <c r="B10" s="107" t="s">
        <v>361</v>
      </c>
      <c r="C10" s="107" t="s">
        <v>304</v>
      </c>
      <c r="D10" s="107" t="s">
        <v>20</v>
      </c>
    </row>
    <row r="11" spans="1:11" x14ac:dyDescent="0.35">
      <c r="A11" s="156" t="s">
        <v>314</v>
      </c>
      <c r="B11" s="168">
        <f>SUM('Capital Costs'!C9:C23)+'Capital Costs'!A5</f>
        <v>24798699.651553918</v>
      </c>
      <c r="C11" s="23">
        <v>20</v>
      </c>
      <c r="D11" s="105">
        <f>IF(C11&gt;'Project Information'!$B$10,IFERROR(B11*((C11-'Project Information'!$B$10)/C11),0),0)</f>
        <v>0</v>
      </c>
    </row>
    <row r="12" spans="1:11" x14ac:dyDescent="0.35">
      <c r="A12" s="156" t="s">
        <v>303</v>
      </c>
      <c r="B12" s="163">
        <v>0</v>
      </c>
      <c r="C12" s="23">
        <v>0</v>
      </c>
      <c r="D12" s="105">
        <f>IF(C12&gt;'Project Information'!$B$10,IFERROR(B12*((C12-'Project Information'!$B$10)/C12),0),0)</f>
        <v>0</v>
      </c>
    </row>
    <row r="13" spans="1:11" x14ac:dyDescent="0.35">
      <c r="A13" s="156" t="s">
        <v>303</v>
      </c>
      <c r="B13" s="163">
        <v>0</v>
      </c>
      <c r="C13" s="23">
        <v>0</v>
      </c>
      <c r="D13" s="105">
        <f>IF(C13&gt;'Project Information'!$B$10,IFERROR(B13*((C13-'Project Information'!$B$10)/C13),0),0)</f>
        <v>0</v>
      </c>
    </row>
    <row r="14" spans="1:11" x14ac:dyDescent="0.35">
      <c r="A14" s="156" t="s">
        <v>303</v>
      </c>
      <c r="B14" s="163">
        <v>0</v>
      </c>
      <c r="C14" s="23">
        <v>0</v>
      </c>
      <c r="D14" s="105">
        <f>IF(C14&gt;'Project Information'!$B$10,IFERROR(B14*((C14-'Project Information'!$B$10)/C14),0),0)</f>
        <v>0</v>
      </c>
    </row>
    <row r="15" spans="1:11" x14ac:dyDescent="0.35">
      <c r="A15" s="156" t="s">
        <v>303</v>
      </c>
      <c r="B15" s="163">
        <v>0</v>
      </c>
      <c r="C15" s="23">
        <v>0</v>
      </c>
      <c r="D15" s="105">
        <f>IF(C15&gt;'Project Information'!$B$10,IFERROR(B15*((C15-'Project Information'!$B$10)/C15),0),0)</f>
        <v>0</v>
      </c>
    </row>
    <row r="16" spans="1:11" x14ac:dyDescent="0.35">
      <c r="A16" s="156" t="s">
        <v>303</v>
      </c>
      <c r="B16" s="163">
        <v>0</v>
      </c>
      <c r="C16" s="23">
        <v>0</v>
      </c>
      <c r="D16" s="105">
        <f>IF(C16&gt;'Project Information'!$B$10,IFERROR(B16*((C16-'Project Information'!$B$10)/C16),0),0)</f>
        <v>0</v>
      </c>
    </row>
    <row r="17" spans="1:52" x14ac:dyDescent="0.35">
      <c r="A17" s="3" t="s">
        <v>313</v>
      </c>
      <c r="B17" s="158"/>
      <c r="C17" s="159"/>
      <c r="D17" s="105">
        <f>SUM(D11:D16)</f>
        <v>0</v>
      </c>
    </row>
    <row r="18" spans="1:52" x14ac:dyDescent="0.35">
      <c r="A18" s="5" t="s">
        <v>205</v>
      </c>
    </row>
    <row r="19" spans="1:52" x14ac:dyDescent="0.35">
      <c r="A19" s="153" t="s">
        <v>338</v>
      </c>
      <c r="B19" s="153"/>
      <c r="C19" s="153"/>
      <c r="D19" s="153"/>
      <c r="E19" s="153"/>
      <c r="F19" s="153"/>
      <c r="G19" s="153"/>
    </row>
    <row r="20" spans="1:52" x14ac:dyDescent="0.35">
      <c r="A20" s="153" t="s">
        <v>318</v>
      </c>
      <c r="B20" s="153"/>
      <c r="C20" s="153"/>
      <c r="D20" s="153"/>
    </row>
    <row r="21" spans="1:52" ht="15" thickBot="1" x14ac:dyDescent="0.4">
      <c r="A21" s="97" t="s">
        <v>300</v>
      </c>
    </row>
    <row r="22" spans="1:52" x14ac:dyDescent="0.35">
      <c r="A22" s="107" t="s">
        <v>4</v>
      </c>
      <c r="B22" s="108" t="s">
        <v>20</v>
      </c>
      <c r="E22" s="10" t="s">
        <v>161</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35">
      <c r="A23" s="6">
        <f>'Project Information'!$B$9</f>
        <v>2032</v>
      </c>
      <c r="B23" s="26">
        <f>IF(A23='Project Information'!$B$6+'Project Information'!$B$8+'Project Information'!$B$10+('Project Information'!$B$7-'Project Information'!$B$6-1),$D$17,0)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2033</v>
      </c>
      <c r="B24" s="26">
        <f>IF(A24='Project Information'!$B$6+'Project Information'!$B$8+'Project Information'!$B$10+('Project Information'!$B$7-'Project Information'!$B$6-1),$D$17,0)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2034</v>
      </c>
      <c r="B25" s="26">
        <f>IF(A25='Project Information'!$B$6+'Project Information'!$B$8+'Project Information'!$B$10+('Project Information'!$B$7-'Project Information'!$B$6-1),$D$17,0)</f>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2035</v>
      </c>
      <c r="B26" s="26">
        <f>IF(A26='Project Information'!$B$6+'Project Information'!$B$8+'Project Information'!$B$10+('Project Information'!$B$7-'Project Information'!$B$6-1),$D$17,0)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2036</v>
      </c>
      <c r="B27" s="26">
        <f>IF(A27='Project Information'!$B$6+'Project Information'!$B$8+'Project Information'!$B$10+('Project Information'!$B$7-'Project Information'!$B$6-1),$D$17,0)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f>IF(A27&lt;'Project Information'!B$11,A27+1,"")</f>
        <v>2037</v>
      </c>
      <c r="B28" s="26">
        <f>IF(A28='Project Information'!$B$6+'Project Information'!$B$8+'Project Information'!$B$10+('Project Information'!$B$7-'Project Information'!$B$6-1),$D$17,0)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f>IF(A28&lt;'Project Information'!B$11,A28+1,"")</f>
        <v>2038</v>
      </c>
      <c r="B29" s="26">
        <f>IF(A29='Project Information'!$B$6+'Project Information'!$B$8+'Project Information'!$B$10+('Project Information'!$B$7-'Project Information'!$B$6-1),$D$17,0)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f>IF(A29&lt;'Project Information'!B$11,A29+1,"")</f>
        <v>2039</v>
      </c>
      <c r="B30" s="26">
        <f>IF(A30='Project Information'!$B$6+'Project Information'!$B$8+'Project Information'!$B$10+('Project Information'!$B$7-'Project Information'!$B$6-1),$D$17,0)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f>IF(A30&lt;'Project Information'!B$11,A30+1,"")</f>
        <v>2040</v>
      </c>
      <c r="B31" s="26">
        <f>IF(A31='Project Information'!$B$6+'Project Information'!$B$8+'Project Information'!$B$10+('Project Information'!$B$7-'Project Information'!$B$6-1),$D$17,0)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f>IF(A31&lt;'Project Information'!B$11,A31+1,"")</f>
        <v>2041</v>
      </c>
      <c r="B32" s="26">
        <f>IF(A32='Project Information'!$B$6+'Project Information'!$B$8+'Project Information'!$B$10+('Project Information'!$B$7-'Project Information'!$B$6-1),$D$17,0)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f>IF(A32&lt;'Project Information'!B$11,A32+1,"")</f>
        <v>2042</v>
      </c>
      <c r="B33" s="26">
        <f>IF(A33='Project Information'!$B$6+'Project Information'!$B$8+'Project Information'!$B$10+('Project Information'!$B$7-'Project Information'!$B$6-1),$D$17,0)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f>IF(A33&lt;'Project Information'!B$11,A33+1,"")</f>
        <v>2043</v>
      </c>
      <c r="B34" s="26">
        <f>IF(A34='Project Information'!$B$6+'Project Information'!$B$8+'Project Information'!$B$10+('Project Information'!$B$7-'Project Information'!$B$6-1),$D$17,0)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f>IF(A34&lt;'Project Information'!B$11,A34+1,"")</f>
        <v>2044</v>
      </c>
      <c r="B35" s="26">
        <f>IF(A35='Project Information'!$B$6+'Project Information'!$B$8+'Project Information'!$B$10+('Project Information'!$B$7-'Project Information'!$B$6-1),$D$17,0)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f>IF(A35&lt;'Project Information'!B$11,A35+1,"")</f>
        <v>2045</v>
      </c>
      <c r="B36" s="26">
        <f>IF(A36='Project Information'!$B$6+'Project Information'!$B$8+'Project Information'!$B$10+('Project Information'!$B$7-'Project Information'!$B$6-1),$D$17,0)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1">
        <f>IF(A36&lt;'Project Information'!B$11,A36+1,"")</f>
        <v>2046</v>
      </c>
      <c r="B37" s="26">
        <f>IF(A37='Project Information'!$B$6+'Project Information'!$B$8+'Project Information'!$B$10+('Project Information'!$B$7-'Project Information'!$B$6-1),$D$17,0)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A38" s="1">
        <f>IF(A37&lt;'Project Information'!B$11,A37+1,"")</f>
        <v>2047</v>
      </c>
      <c r="B38" s="26">
        <f>IF(A38='Project Information'!$B$6+'Project Information'!$B$8+'Project Information'!$B$10+('Project Information'!$B$7-'Project Information'!$B$6-1),$D$17,0)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A39" s="1">
        <f>IF(A38&lt;'Project Information'!B$11,A38+1,"")</f>
        <v>2048</v>
      </c>
      <c r="B39" s="26">
        <f>IF(A39='Project Information'!$B$6+'Project Information'!$B$8+'Project Information'!$B$10+('Project Information'!$B$7-'Project Information'!$B$6-1),$D$17,0)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A40" s="1">
        <f>IF(A39&lt;'Project Information'!B$11,A39+1,"")</f>
        <v>2049</v>
      </c>
      <c r="B40" s="26">
        <f>IF(A40='Project Information'!$B$6+'Project Information'!$B$8+'Project Information'!$B$10+('Project Information'!$B$7-'Project Information'!$B$6-1),$D$17,0)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A41" s="1">
        <f>IF(A40&lt;'Project Information'!B$11,A40+1,"")</f>
        <v>2050</v>
      </c>
      <c r="B41" s="26">
        <f>IF(A41='Project Information'!$B$6+'Project Information'!$B$8+'Project Information'!$B$10+('Project Information'!$B$7-'Project Information'!$B$6-1),$D$17,0)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A42" s="1">
        <f>IF(A41&lt;'Project Information'!B$11,A41+1,"")</f>
        <v>2051</v>
      </c>
      <c r="B42" s="26">
        <f>IF(A42='Project Information'!$B$6+'Project Information'!$B$8+'Project Information'!$B$10+('Project Information'!$B$7-'Project Information'!$B$6-1),$D$17,0)</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A43" s="1" t="str">
        <f>IF(A42&lt;'Project Information'!B$11,A42+1,"")</f>
        <v/>
      </c>
      <c r="B43" s="26">
        <f>IF(A43='Project Information'!$B$6+'Project Information'!$B$8+'Project Information'!$B$10+('Project Information'!$B$7-'Project Information'!$B$6-1),$D$17,0)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A44" s="1" t="str">
        <f>IF(A43&lt;'Project Information'!B$11,A43+1,"")</f>
        <v/>
      </c>
      <c r="B44" s="26">
        <f>IF(A44='Project Information'!$B$6+'Project Information'!$B$8+'Project Information'!$B$10+('Project Information'!$B$7-'Project Information'!$B$6-1),$D$17,0)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A45" s="1" t="str">
        <f>IF(A44&lt;'Project Information'!B$11,A44+1,"")</f>
        <v/>
      </c>
      <c r="B45" s="26">
        <f>IF(A45='Project Information'!$B$6+'Project Information'!$B$8+'Project Information'!$B$10+('Project Information'!$B$7-'Project Information'!$B$6-1),$D$17,0)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A46" s="1" t="str">
        <f>IF(A45&lt;'Project Information'!B$11,A45+1,"")</f>
        <v/>
      </c>
      <c r="B46" s="26">
        <f>IF(A46='Project Information'!$B$6+'Project Information'!$B$8+'Project Information'!$B$10+('Project Information'!$B$7-'Project Information'!$B$6-1),$D$17,0)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A47" s="1" t="str">
        <f>IF(A46&lt;'Project Information'!B$11,A46+1,"")</f>
        <v/>
      </c>
      <c r="B47" s="26">
        <f>IF(A47='Project Information'!$B$6+'Project Information'!$B$8+'Project Information'!$B$10+('Project Information'!$B$7-'Project Information'!$B$6-1),$D$17,0)</f>
        <v>0</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A48" s="1" t="str">
        <f>IF(A47&lt;'Project Information'!B$11,A47+1,"")</f>
        <v/>
      </c>
      <c r="B48" s="26">
        <f>IF(A48='Project Information'!$B$6+'Project Information'!$B$8+'Project Information'!$B$10+('Project Information'!$B$7-'Project Information'!$B$6-1),$D$17,0)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35">
      <c r="A49" s="1" t="str">
        <f>IF(A48&lt;'Project Information'!B$11,A48+1,"")</f>
        <v/>
      </c>
      <c r="B49" s="26">
        <f>IF(A49='Project Information'!$B$6+'Project Information'!$B$8+'Project Information'!$B$10+('Project Information'!$B$7-'Project Information'!$B$6-1),$D$17,0)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35">
      <c r="A50" s="1" t="str">
        <f>IF(A49&lt;'Project Information'!B$11,A49+1,"")</f>
        <v/>
      </c>
      <c r="B50" s="26">
        <f>IF(A50='Project Information'!$B$6+'Project Information'!$B$8+'Project Information'!$B$10+('Project Information'!$B$7-'Project Information'!$B$6-1),$D$17,0)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35">
      <c r="A51" s="1" t="str">
        <f>IF(A50&lt;'Project Information'!B$11,A50+1,"")</f>
        <v/>
      </c>
      <c r="B51" s="26">
        <f>IF(A51='Project Information'!$B$6+'Project Information'!$B$8+'Project Information'!$B$10+('Project Information'!$B$7-'Project Information'!$B$6-1),$D$17,0)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35">
      <c r="A52" s="2" t="str">
        <f>IF(A51&lt;'Project Information'!B$11,A51+1,"")</f>
        <v/>
      </c>
      <c r="B52" s="165">
        <f>IF(A52='Project Information'!$B$6+'Project Information'!$B$8+'Project Information'!$B$10+('Project Information'!$B$7-'Project Information'!$B$6-1),$D$17,0)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3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3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3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35">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35">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35">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35">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35">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35">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35">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35">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 thickBot="1" x14ac:dyDescent="0.4">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0" tint="-4.9989318521683403E-2"/>
  </sheetPr>
  <dimension ref="A1:AZ87"/>
  <sheetViews>
    <sheetView workbookViewId="0"/>
  </sheetViews>
  <sheetFormatPr defaultColWidth="9.1796875" defaultRowHeight="14.5" x14ac:dyDescent="0.35"/>
  <cols>
    <col min="1" max="1" width="26.1796875" style="5" customWidth="1"/>
    <col min="2" max="2" width="40.7265625" style="5" customWidth="1"/>
    <col min="3" max="16384" width="9.1796875" style="5"/>
  </cols>
  <sheetData>
    <row r="1" spans="1:52" ht="20" thickBot="1" x14ac:dyDescent="0.5">
      <c r="A1" s="96" t="s">
        <v>15</v>
      </c>
    </row>
    <row r="2" spans="1:52" ht="15" thickTop="1" x14ac:dyDescent="0.35">
      <c r="A2" s="152" t="s">
        <v>239</v>
      </c>
      <c r="B2" s="152"/>
      <c r="C2" s="152"/>
      <c r="D2" s="152"/>
    </row>
    <row r="3" spans="1:52" x14ac:dyDescent="0.35">
      <c r="A3" s="5" t="s">
        <v>205</v>
      </c>
    </row>
    <row r="4" spans="1:52" x14ac:dyDescent="0.35">
      <c r="A4" s="153" t="s">
        <v>357</v>
      </c>
      <c r="B4" s="152"/>
      <c r="C4" s="152"/>
      <c r="D4" s="152"/>
      <c r="E4" s="152"/>
      <c r="F4" s="152"/>
      <c r="G4" s="152"/>
      <c r="H4" s="152"/>
      <c r="I4" s="152"/>
      <c r="J4" s="152"/>
      <c r="K4" s="152"/>
      <c r="L4" s="152"/>
      <c r="M4" s="152"/>
    </row>
    <row r="5" spans="1:52" x14ac:dyDescent="0.35">
      <c r="A5" s="5" t="s">
        <v>205</v>
      </c>
    </row>
    <row r="6" spans="1:52" ht="15" thickBot="1" x14ac:dyDescent="0.4">
      <c r="A6" s="97" t="s">
        <v>252</v>
      </c>
    </row>
    <row r="7" spans="1:52" x14ac:dyDescent="0.35">
      <c r="A7" s="107" t="s">
        <v>4</v>
      </c>
      <c r="B7" s="24" t="s">
        <v>15</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35">
      <c r="A8" s="6">
        <f>'Project Information'!$B$9</f>
        <v>2032</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35">
      <c r="A9" s="1">
        <f>IF(A8&lt;'Project Information'!B$11,A8+1,"")</f>
        <v>2033</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5">
      <c r="A10" s="1">
        <f>IF(A9&lt;'Project Information'!B$11,A9+1,"")</f>
        <v>2034</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5">
      <c r="A11" s="1">
        <f>IF(A10&lt;'Project Information'!B$11,A10+1,"")</f>
        <v>2035</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5">
      <c r="A12" s="1">
        <f>IF(A11&lt;'Project Information'!B$11,A11+1,"")</f>
        <v>2036</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f>IF(A12&lt;'Project Information'!B$11,A12+1,"")</f>
        <v>2037</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f>IF(A13&lt;'Project Information'!B$11,A13+1,"")</f>
        <v>2038</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f>IF(A14&lt;'Project Information'!B$11,A14+1,"")</f>
        <v>2039</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2040</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2041</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2042</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2043</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2044</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2045</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2046</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2047</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2048</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2049</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2050</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2051</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4">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heetViews>
  <sheetFormatPr defaultColWidth="8.7265625" defaultRowHeight="14.5" x14ac:dyDescent="0.35"/>
  <cols>
    <col min="1" max="1" width="56.26953125" style="5" customWidth="1"/>
    <col min="2" max="16384" width="8.7265625" style="5"/>
  </cols>
  <sheetData>
    <row r="1" spans="1:5" ht="20" thickBot="1" x14ac:dyDescent="0.5">
      <c r="A1" s="96" t="s">
        <v>211</v>
      </c>
    </row>
    <row r="2" spans="1:5" ht="15" thickTop="1" x14ac:dyDescent="0.35">
      <c r="A2" s="152" t="s">
        <v>180</v>
      </c>
      <c r="B2" s="152"/>
      <c r="C2" s="152"/>
      <c r="D2" s="152"/>
      <c r="E2" s="152"/>
    </row>
    <row r="3" spans="1:5" x14ac:dyDescent="0.35">
      <c r="A3" s="5" t="s">
        <v>205</v>
      </c>
    </row>
    <row r="4" spans="1:5" x14ac:dyDescent="0.35">
      <c r="A4" s="97" t="s">
        <v>212</v>
      </c>
    </row>
    <row r="5" spans="1:5" x14ac:dyDescent="0.35">
      <c r="A5" s="100" t="s">
        <v>213</v>
      </c>
      <c r="B5" s="101" t="s">
        <v>214</v>
      </c>
    </row>
    <row r="6" spans="1:5" x14ac:dyDescent="0.35">
      <c r="A6" s="43" t="s">
        <v>160</v>
      </c>
      <c r="B6" s="98">
        <f>Overview!B22</f>
        <v>2023</v>
      </c>
    </row>
    <row r="7" spans="1:5" x14ac:dyDescent="0.35">
      <c r="A7" s="43" t="s">
        <v>299</v>
      </c>
      <c r="B7" s="23">
        <f>Inputs!Y13</f>
        <v>2029</v>
      </c>
      <c r="C7" s="5" t="s">
        <v>316</v>
      </c>
    </row>
    <row r="8" spans="1:5" x14ac:dyDescent="0.35">
      <c r="A8" s="43" t="s">
        <v>165</v>
      </c>
      <c r="B8" s="23">
        <f>Inputs!Y14-Inputs!Y13</f>
        <v>3</v>
      </c>
      <c r="C8" s="5" t="s">
        <v>167</v>
      </c>
    </row>
    <row r="9" spans="1:5" x14ac:dyDescent="0.35">
      <c r="A9" s="43" t="s">
        <v>164</v>
      </c>
      <c r="B9" s="98">
        <f>B7+B8</f>
        <v>2032</v>
      </c>
    </row>
    <row r="10" spans="1:5" x14ac:dyDescent="0.35">
      <c r="A10" s="43" t="s">
        <v>166</v>
      </c>
      <c r="B10" s="23">
        <v>20</v>
      </c>
      <c r="C10" s="5" t="s">
        <v>332</v>
      </c>
    </row>
    <row r="11" spans="1:5" x14ac:dyDescent="0.35">
      <c r="A11" s="43" t="s">
        <v>170</v>
      </c>
      <c r="B11" s="99">
        <f>B7+B8+B10-1</f>
        <v>2051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0" tint="-4.9989318521683403E-2"/>
  </sheetPr>
  <dimension ref="A1:AZ87"/>
  <sheetViews>
    <sheetView workbookViewId="0"/>
  </sheetViews>
  <sheetFormatPr defaultColWidth="9.1796875" defaultRowHeight="14.5" x14ac:dyDescent="0.35"/>
  <cols>
    <col min="1" max="1" width="26" style="5" customWidth="1"/>
    <col min="2" max="2" width="40.7265625" style="5" customWidth="1"/>
    <col min="3" max="16384" width="9.1796875" style="5"/>
  </cols>
  <sheetData>
    <row r="1" spans="1:52" ht="20" thickBot="1" x14ac:dyDescent="0.5">
      <c r="A1" s="96" t="s">
        <v>16</v>
      </c>
    </row>
    <row r="2" spans="1:52" ht="15" thickTop="1" x14ac:dyDescent="0.35">
      <c r="A2" s="152" t="s">
        <v>239</v>
      </c>
      <c r="B2" s="152"/>
      <c r="C2" s="152"/>
    </row>
    <row r="3" spans="1:52" x14ac:dyDescent="0.35">
      <c r="A3" s="5" t="s">
        <v>205</v>
      </c>
    </row>
    <row r="4" spans="1:52" x14ac:dyDescent="0.35">
      <c r="A4" s="153" t="s">
        <v>357</v>
      </c>
      <c r="B4" s="152"/>
      <c r="C4" s="152"/>
      <c r="D4" s="152"/>
      <c r="E4" s="152"/>
      <c r="F4" s="152"/>
      <c r="G4" s="152"/>
      <c r="H4" s="152"/>
      <c r="I4" s="152"/>
      <c r="J4" s="152"/>
      <c r="K4" s="152"/>
      <c r="L4" s="152"/>
    </row>
    <row r="5" spans="1:52" x14ac:dyDescent="0.35">
      <c r="A5" s="5" t="s">
        <v>205</v>
      </c>
    </row>
    <row r="6" spans="1:52" ht="15" thickBot="1" x14ac:dyDescent="0.4">
      <c r="A6" s="97" t="s">
        <v>252</v>
      </c>
    </row>
    <row r="7" spans="1:52" x14ac:dyDescent="0.35">
      <c r="A7" s="107" t="s">
        <v>4</v>
      </c>
      <c r="B7" s="24" t="s">
        <v>16</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35">
      <c r="A8" s="6">
        <f>'Project Information'!$B$9</f>
        <v>2032</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35">
      <c r="A9" s="1">
        <f>IF(A8&lt;'Project Information'!B$11,A8+1,"")</f>
        <v>2033</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5">
      <c r="A10" s="1">
        <f>IF(A9&lt;'Project Information'!B$11,A9+1,"")</f>
        <v>2034</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5">
      <c r="A11" s="1">
        <f>IF(A10&lt;'Project Information'!B$11,A10+1,"")</f>
        <v>2035</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5">
      <c r="A12" s="1">
        <f>IF(A11&lt;'Project Information'!B$11,A11+1,"")</f>
        <v>2036</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f>IF(A12&lt;'Project Information'!B$11,A12+1,"")</f>
        <v>2037</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f>IF(A13&lt;'Project Information'!B$11,A13+1,"")</f>
        <v>2038</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f>IF(A14&lt;'Project Information'!B$11,A14+1,"")</f>
        <v>2039</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2040</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2041</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2042</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2043</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2044</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2045</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2046</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2047</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2048</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2049</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2050</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2051</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4">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2" priority="1">
      <formula>A8=""</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0" tint="-4.9989318521683403E-2"/>
  </sheetPr>
  <dimension ref="A1:AZ87"/>
  <sheetViews>
    <sheetView workbookViewId="0"/>
  </sheetViews>
  <sheetFormatPr defaultColWidth="9.1796875" defaultRowHeight="14.5" x14ac:dyDescent="0.35"/>
  <cols>
    <col min="1" max="1" width="25.81640625" style="5" customWidth="1"/>
    <col min="2" max="2" width="40.7265625" style="5" customWidth="1"/>
    <col min="3" max="16384" width="9.1796875" style="5"/>
  </cols>
  <sheetData>
    <row r="1" spans="1:52" ht="20" thickBot="1" x14ac:dyDescent="0.5">
      <c r="A1" s="96" t="s">
        <v>17</v>
      </c>
    </row>
    <row r="2" spans="1:52" ht="15" thickTop="1" x14ac:dyDescent="0.35">
      <c r="A2" s="152" t="s">
        <v>239</v>
      </c>
      <c r="B2" s="152"/>
      <c r="C2" s="152"/>
    </row>
    <row r="3" spans="1:52" x14ac:dyDescent="0.35">
      <c r="A3" s="5" t="s">
        <v>205</v>
      </c>
    </row>
    <row r="4" spans="1:52" x14ac:dyDescent="0.35">
      <c r="A4" s="153" t="s">
        <v>357</v>
      </c>
      <c r="B4" s="152"/>
      <c r="C4" s="152"/>
      <c r="D4" s="152"/>
      <c r="E4" s="152"/>
      <c r="F4" s="152"/>
      <c r="G4" s="152"/>
      <c r="H4" s="152"/>
      <c r="I4" s="152"/>
      <c r="J4" s="152"/>
      <c r="K4" s="152"/>
      <c r="L4" s="152"/>
    </row>
    <row r="5" spans="1:52" x14ac:dyDescent="0.35">
      <c r="A5" s="5" t="s">
        <v>205</v>
      </c>
    </row>
    <row r="6" spans="1:52" ht="15" thickBot="1" x14ac:dyDescent="0.4">
      <c r="A6" s="97" t="s">
        <v>252</v>
      </c>
    </row>
    <row r="7" spans="1:52" x14ac:dyDescent="0.35">
      <c r="A7" s="107" t="s">
        <v>4</v>
      </c>
      <c r="B7" s="24" t="s">
        <v>17</v>
      </c>
      <c r="C7" s="5" t="s">
        <v>159</v>
      </c>
      <c r="E7" s="10" t="s">
        <v>161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35">
      <c r="A8" s="6">
        <f>'Project Information'!$B$9</f>
        <v>2032</v>
      </c>
      <c r="B8" s="164">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35">
      <c r="A9" s="1">
        <f>IF(A8&lt;'Project Information'!B$11,A8+1,"")</f>
        <v>2033</v>
      </c>
      <c r="B9" s="164">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5">
      <c r="A10" s="1">
        <f>IF(A9&lt;'Project Information'!B$11,A9+1,"")</f>
        <v>2034</v>
      </c>
      <c r="B10" s="164">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5">
      <c r="A11" s="1">
        <f>IF(A10&lt;'Project Information'!B$11,A10+1,"")</f>
        <v>2035</v>
      </c>
      <c r="B11" s="164">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5">
      <c r="A12" s="1">
        <f>IF(A11&lt;'Project Information'!B$11,A11+1,"")</f>
        <v>2036</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f>IF(A12&lt;'Project Information'!B$11,A12+1,"")</f>
        <v>2037</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f>IF(A13&lt;'Project Information'!B$11,A13+1,"")</f>
        <v>2038</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f>IF(A14&lt;'Project Information'!B$11,A14+1,"")</f>
        <v>2039</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2040</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2041</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2042</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2043</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2044</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2045</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2046</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2047</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2048</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2049</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2050</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2051</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t="str">
        <f>IF(A27&lt;'Project Information'!B$11,A27+1,"")</f>
        <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t="str">
        <f>IF(A28&lt;'Project Information'!B$11,A28+1,"")</f>
        <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t="str">
        <f>IF(A29&lt;'Project Information'!B$11,A29+1,"")</f>
        <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t="str">
        <f>IF(A30&lt;'Project Information'!B$11,A30+1,"")</f>
        <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2" t="str">
        <f>IF(A36&lt;'Project Information'!B$11,A36+1,"")</f>
        <v/>
      </c>
      <c r="B37" s="12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4">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1" priority="1">
      <formula>A8=""</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0" tint="-4.9989318521683403E-2"/>
  </sheetPr>
  <dimension ref="A1:AZ91"/>
  <sheetViews>
    <sheetView zoomScaleNormal="100" workbookViewId="0"/>
  </sheetViews>
  <sheetFormatPr defaultColWidth="9.1796875" defaultRowHeight="14.5" x14ac:dyDescent="0.35"/>
  <cols>
    <col min="1" max="1" width="40.81640625" style="5" customWidth="1"/>
    <col min="2" max="2" width="40.7265625" style="5" customWidth="1"/>
    <col min="3" max="16384" width="9.1796875" style="5"/>
  </cols>
  <sheetData>
    <row r="1" spans="1:52" ht="20" thickBot="1" x14ac:dyDescent="0.5">
      <c r="A1" s="96" t="s">
        <v>18</v>
      </c>
    </row>
    <row r="2" spans="1:52" ht="15" thickTop="1" x14ac:dyDescent="0.35">
      <c r="A2" s="152" t="s">
        <v>240</v>
      </c>
      <c r="B2" s="152"/>
      <c r="C2" s="152"/>
      <c r="D2" s="152"/>
      <c r="E2" s="152"/>
      <c r="F2" s="152"/>
      <c r="G2" s="152"/>
    </row>
    <row r="3" spans="1:52" x14ac:dyDescent="0.35">
      <c r="A3" s="152" t="s">
        <v>242</v>
      </c>
      <c r="B3" s="152"/>
      <c r="C3" s="152"/>
    </row>
    <row r="4" spans="1:52" x14ac:dyDescent="0.35">
      <c r="A4" s="152" t="s">
        <v>241</v>
      </c>
      <c r="B4" s="152"/>
      <c r="C4" s="152"/>
      <c r="D4" s="152"/>
      <c r="E4" s="152"/>
      <c r="F4" s="152"/>
    </row>
    <row r="5" spans="1:52" x14ac:dyDescent="0.35">
      <c r="A5" s="5" t="s">
        <v>205</v>
      </c>
    </row>
    <row r="6" spans="1:52" x14ac:dyDescent="0.35">
      <c r="A6" s="152" t="s">
        <v>239</v>
      </c>
      <c r="B6" s="152"/>
    </row>
    <row r="7" spans="1:52" x14ac:dyDescent="0.35">
      <c r="A7" s="5" t="s">
        <v>205</v>
      </c>
    </row>
    <row r="8" spans="1:52" x14ac:dyDescent="0.35">
      <c r="A8" s="153" t="s">
        <v>357</v>
      </c>
      <c r="B8" s="152"/>
      <c r="C8" s="152"/>
      <c r="D8" s="152"/>
      <c r="E8" s="152"/>
      <c r="F8" s="152"/>
      <c r="G8" s="152"/>
      <c r="H8" s="152"/>
      <c r="I8" s="152"/>
      <c r="J8" s="152"/>
      <c r="K8" s="152"/>
    </row>
    <row r="9" spans="1:52" x14ac:dyDescent="0.35">
      <c r="A9" s="38" t="s">
        <v>205</v>
      </c>
    </row>
    <row r="10" spans="1:52" ht="15" thickBot="1" x14ac:dyDescent="0.4">
      <c r="A10" s="97" t="s">
        <v>252</v>
      </c>
    </row>
    <row r="11" spans="1:52" x14ac:dyDescent="0.35">
      <c r="A11" s="109" t="s">
        <v>4</v>
      </c>
      <c r="B11" s="24" t="s">
        <v>18</v>
      </c>
      <c r="C11" s="5" t="s">
        <v>159</v>
      </c>
      <c r="E11" s="10" t="s">
        <v>161</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35">
      <c r="A12" s="6">
        <f>'Project Information'!$B$9</f>
        <v>2032</v>
      </c>
      <c r="B12" s="164">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f>IF(A12&lt;'Project Information'!B$11,A12+1,"")</f>
        <v>2033</v>
      </c>
      <c r="B13" s="164">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f>IF(A13&lt;'Project Information'!B$11,A13+1,"")</f>
        <v>2034</v>
      </c>
      <c r="B14" s="164">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f>IF(A14&lt;'Project Information'!B$11,A14+1,"")</f>
        <v>2035</v>
      </c>
      <c r="B15" s="164">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f>IF(A15&lt;'Project Information'!B$11,A15+1,"")</f>
        <v>2036</v>
      </c>
      <c r="B16" s="164">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f>IF(A16&lt;'Project Information'!B$11,A16+1,"")</f>
        <v>2037</v>
      </c>
      <c r="B17" s="164">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f>IF(A17&lt;'Project Information'!B$11,A17+1,"")</f>
        <v>2038</v>
      </c>
      <c r="B18" s="164">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f>IF(A18&lt;'Project Information'!B$11,A18+1,"")</f>
        <v>2039</v>
      </c>
      <c r="B19" s="164">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f>IF(A19&lt;'Project Information'!B$11,A19+1,"")</f>
        <v>2040</v>
      </c>
      <c r="B20" s="164">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f>IF(A20&lt;'Project Information'!B$11,A20+1,"")</f>
        <v>2041</v>
      </c>
      <c r="B21" s="164">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f>IF(A21&lt;'Project Information'!B$11,A21+1,"")</f>
        <v>2042</v>
      </c>
      <c r="B22" s="164">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f>IF(A22&lt;'Project Information'!B$11,A22+1,"")</f>
        <v>2043</v>
      </c>
      <c r="B23" s="164">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1">
        <f>IF(A23&lt;'Project Information'!B$11,A23+1,"")</f>
        <v>2044</v>
      </c>
      <c r="B24" s="164">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A25" s="1">
        <f>IF(A24&lt;'Project Information'!B$11,A24+1,"")</f>
        <v>2045</v>
      </c>
      <c r="B25" s="164">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A26" s="1">
        <f>IF(A25&lt;'Project Information'!B$11,A25+1,"")</f>
        <v>2046</v>
      </c>
      <c r="B26" s="164">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A27" s="1">
        <f>IF(A26&lt;'Project Information'!B$11,A26+1,"")</f>
        <v>2047</v>
      </c>
      <c r="B27" s="164">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A28" s="1">
        <f>IF(A27&lt;'Project Information'!B$11,A27+1,"")</f>
        <v>2048</v>
      </c>
      <c r="B28" s="164">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A29" s="1">
        <f>IF(A28&lt;'Project Information'!B$11,A28+1,"")</f>
        <v>2049</v>
      </c>
      <c r="B29" s="164">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A30" s="1">
        <f>IF(A29&lt;'Project Information'!B$11,A29+1,"")</f>
        <v>2050</v>
      </c>
      <c r="B30" s="164">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A31" s="1">
        <f>IF(A30&lt;'Project Information'!B$11,A30+1,"")</f>
        <v>2051</v>
      </c>
      <c r="B31" s="164">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A32" s="1" t="str">
        <f>IF(A31&lt;'Project Information'!B$11,A31+1,"")</f>
        <v/>
      </c>
      <c r="B32" s="164">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5">
      <c r="A33" s="1" t="str">
        <f>IF(A32&lt;'Project Information'!B$11,A32+1,"")</f>
        <v/>
      </c>
      <c r="B33" s="164">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5">
      <c r="A34" s="1" t="str">
        <f>IF(A33&lt;'Project Information'!B$11,A33+1,"")</f>
        <v/>
      </c>
      <c r="B34" s="164">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5">
      <c r="A35" s="1" t="str">
        <f>IF(A34&lt;'Project Information'!B$11,A34+1,"")</f>
        <v/>
      </c>
      <c r="B35" s="164">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5">
      <c r="A36" s="1" t="str">
        <f>IF(A35&lt;'Project Information'!B$11,A35+1,"")</f>
        <v/>
      </c>
      <c r="B36" s="164">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5">
      <c r="A37" s="1" t="str">
        <f>IF(A36&lt;'Project Information'!B$11,A36+1,"")</f>
        <v/>
      </c>
      <c r="B37" s="164">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5">
      <c r="A38" s="1" t="str">
        <f>IF(A37&lt;'Project Information'!B$11,A37+1,"")</f>
        <v/>
      </c>
      <c r="B38" s="164">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5">
      <c r="A39" s="1" t="str">
        <f>IF(A38&lt;'Project Information'!B$11,A38+1,"")</f>
        <v/>
      </c>
      <c r="B39" s="164">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5">
      <c r="A40" s="1" t="str">
        <f>IF(A39&lt;'Project Information'!B$11,A39+1,"")</f>
        <v/>
      </c>
      <c r="B40" s="164">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5">
      <c r="A41" s="2" t="str">
        <f>IF(A40&lt;'Project Information'!B$11,A40+1,"")</f>
        <v/>
      </c>
      <c r="B41" s="120">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 thickBot="1" x14ac:dyDescent="0.4">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0" priority="1">
      <formula>A12=""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F242"/>
  <sheetViews>
    <sheetView zoomScaleNormal="100" workbookViewId="0"/>
  </sheetViews>
  <sheetFormatPr defaultRowHeight="14.5" x14ac:dyDescent="0.35"/>
  <cols>
    <col min="1" max="1" width="48.81640625" customWidth="1"/>
    <col min="2" max="2" width="27.26953125" customWidth="1"/>
    <col min="3" max="3" width="22.54296875" customWidth="1"/>
    <col min="4" max="4" width="19" customWidth="1"/>
    <col min="5" max="5" width="13.54296875" customWidth="1"/>
    <col min="6" max="6" width="12" customWidth="1"/>
  </cols>
  <sheetData>
    <row r="1" spans="1:6" ht="21" x14ac:dyDescent="0.5">
      <c r="A1" s="56" t="s">
        <v>204</v>
      </c>
      <c r="B1" s="57"/>
      <c r="C1" s="57"/>
      <c r="D1" s="57"/>
      <c r="E1" s="71"/>
      <c r="F1" s="71"/>
    </row>
    <row r="2" spans="1:6" x14ac:dyDescent="0.35">
      <c r="A2" s="152" t="s">
        <v>308</v>
      </c>
      <c r="B2" s="152"/>
      <c r="C2" s="152"/>
      <c r="D2" s="152"/>
      <c r="E2" s="152"/>
      <c r="F2" s="60"/>
    </row>
    <row r="3" spans="1:6" x14ac:dyDescent="0.35">
      <c r="A3" s="61" t="s">
        <v>307</v>
      </c>
      <c r="F3" s="60"/>
    </row>
    <row r="4" spans="1:6" x14ac:dyDescent="0.35">
      <c r="A4" s="62" t="s">
        <v>205</v>
      </c>
      <c r="F4" s="60"/>
    </row>
    <row r="5" spans="1:6" x14ac:dyDescent="0.35">
      <c r="A5" s="63" t="s">
        <v>266</v>
      </c>
      <c r="B5" s="64"/>
      <c r="C5" s="64"/>
      <c r="D5" s="64"/>
      <c r="E5" s="64"/>
      <c r="F5" s="60"/>
    </row>
    <row r="6" spans="1:6" ht="17.25" customHeight="1" x14ac:dyDescent="0.35">
      <c r="A6" s="66" t="s">
        <v>22</v>
      </c>
      <c r="B6" s="66" t="s">
        <v>341</v>
      </c>
      <c r="C6" s="64"/>
      <c r="D6" s="64"/>
      <c r="E6" s="64"/>
      <c r="F6" s="60"/>
    </row>
    <row r="7" spans="1:6" x14ac:dyDescent="0.35">
      <c r="A7" s="67" t="s">
        <v>23</v>
      </c>
      <c r="B7" s="68">
        <v>5300</v>
      </c>
      <c r="C7" s="64"/>
      <c r="D7" s="64"/>
      <c r="E7" s="64"/>
      <c r="F7" s="60"/>
    </row>
    <row r="8" spans="1:6" x14ac:dyDescent="0.35">
      <c r="A8" s="67" t="s">
        <v>24</v>
      </c>
      <c r="B8" s="68">
        <v>118000</v>
      </c>
      <c r="C8" s="64"/>
      <c r="D8" s="64"/>
      <c r="E8" s="64"/>
      <c r="F8" s="60"/>
    </row>
    <row r="9" spans="1:6" x14ac:dyDescent="0.35">
      <c r="A9" s="67" t="s">
        <v>25</v>
      </c>
      <c r="B9" s="68">
        <v>246900</v>
      </c>
      <c r="C9" s="64"/>
      <c r="D9" s="64"/>
      <c r="E9" s="64"/>
      <c r="F9" s="60"/>
    </row>
    <row r="10" spans="1:6" x14ac:dyDescent="0.35">
      <c r="A10" s="67" t="s">
        <v>26</v>
      </c>
      <c r="B10" s="68">
        <v>1254700</v>
      </c>
      <c r="C10" s="64"/>
      <c r="D10" s="64"/>
      <c r="E10" s="64"/>
      <c r="F10" s="60"/>
    </row>
    <row r="11" spans="1:6" x14ac:dyDescent="0.35">
      <c r="A11" s="67" t="s">
        <v>27</v>
      </c>
      <c r="B11" s="68">
        <v>13200000</v>
      </c>
      <c r="C11" s="64"/>
      <c r="D11" s="64"/>
      <c r="E11" s="64"/>
      <c r="F11" s="60"/>
    </row>
    <row r="12" spans="1:6" x14ac:dyDescent="0.35">
      <c r="A12" s="67" t="s">
        <v>28</v>
      </c>
      <c r="B12" s="68">
        <v>229800</v>
      </c>
      <c r="C12" s="64"/>
      <c r="D12" s="64"/>
      <c r="E12" s="64"/>
      <c r="F12" s="60"/>
    </row>
    <row r="13" spans="1:6" x14ac:dyDescent="0.35">
      <c r="A13" s="63" t="s">
        <v>337</v>
      </c>
      <c r="B13" s="64"/>
      <c r="C13" s="64"/>
      <c r="D13" s="64"/>
      <c r="E13" s="64"/>
      <c r="F13" s="60"/>
    </row>
    <row r="14" spans="1:6" x14ac:dyDescent="0.35">
      <c r="A14" s="66" t="s">
        <v>29</v>
      </c>
      <c r="B14" s="66" t="s">
        <v>341</v>
      </c>
      <c r="C14" s="64"/>
      <c r="D14" s="64"/>
      <c r="E14" s="64"/>
      <c r="F14" s="60"/>
    </row>
    <row r="15" spans="1:6" x14ac:dyDescent="0.35">
      <c r="A15" s="67" t="s">
        <v>267</v>
      </c>
      <c r="B15" s="68">
        <v>9500</v>
      </c>
      <c r="C15" s="64"/>
      <c r="D15" s="64"/>
      <c r="E15" s="64"/>
      <c r="F15" s="60"/>
    </row>
    <row r="16" spans="1:6" x14ac:dyDescent="0.35">
      <c r="A16" s="67" t="s">
        <v>30</v>
      </c>
      <c r="B16" s="68">
        <v>329500</v>
      </c>
      <c r="C16" s="64"/>
      <c r="D16" s="64"/>
      <c r="E16" s="64"/>
      <c r="F16" s="60"/>
    </row>
    <row r="17" spans="1:6" x14ac:dyDescent="0.35">
      <c r="A17" s="67" t="s">
        <v>31</v>
      </c>
      <c r="B17" s="68">
        <v>14806000</v>
      </c>
      <c r="C17" s="64"/>
      <c r="D17" s="64"/>
      <c r="E17" s="64"/>
      <c r="F17" s="60"/>
    </row>
    <row r="18" spans="1:6" x14ac:dyDescent="0.35">
      <c r="A18" s="65" t="s">
        <v>205</v>
      </c>
      <c r="B18" s="64"/>
      <c r="C18" s="64"/>
      <c r="D18" s="64"/>
      <c r="E18" s="64"/>
      <c r="F18" s="60"/>
    </row>
    <row r="19" spans="1:6" x14ac:dyDescent="0.35">
      <c r="A19" s="63" t="s">
        <v>268</v>
      </c>
      <c r="B19" s="64"/>
      <c r="C19" s="64"/>
      <c r="D19" s="64"/>
      <c r="E19" s="64"/>
      <c r="F19" s="60"/>
    </row>
    <row r="20" spans="1:6" ht="15" customHeight="1" x14ac:dyDescent="0.35">
      <c r="A20" s="296" t="s">
        <v>32</v>
      </c>
      <c r="B20" s="296"/>
      <c r="C20" s="64"/>
      <c r="D20" s="64"/>
      <c r="E20" s="64"/>
      <c r="F20" s="60"/>
    </row>
    <row r="21" spans="1:6" x14ac:dyDescent="0.35">
      <c r="A21" s="296" t="s">
        <v>342</v>
      </c>
      <c r="B21" s="296"/>
      <c r="C21" s="64"/>
      <c r="D21" s="64"/>
      <c r="E21" s="64"/>
      <c r="F21" s="60"/>
    </row>
    <row r="22" spans="1:6" x14ac:dyDescent="0.35">
      <c r="A22" s="66" t="s">
        <v>33</v>
      </c>
      <c r="B22" s="66" t="s">
        <v>34</v>
      </c>
      <c r="C22" s="64"/>
      <c r="D22" s="64"/>
      <c r="E22" s="64"/>
      <c r="F22" s="60"/>
    </row>
    <row r="23" spans="1:6" x14ac:dyDescent="0.35">
      <c r="A23" s="67" t="s">
        <v>35</v>
      </c>
      <c r="B23" s="69"/>
      <c r="C23" s="64"/>
      <c r="D23" s="64"/>
      <c r="E23" s="64"/>
      <c r="F23" s="60"/>
    </row>
    <row r="24" spans="1:6" ht="16" x14ac:dyDescent="0.35">
      <c r="A24" s="67" t="s">
        <v>40</v>
      </c>
      <c r="B24" s="70">
        <v>19.399999999999999</v>
      </c>
      <c r="C24" s="64"/>
      <c r="D24" s="64"/>
      <c r="E24" s="64"/>
      <c r="F24" s="60"/>
    </row>
    <row r="25" spans="1:6" ht="16" x14ac:dyDescent="0.35">
      <c r="A25" s="67" t="s">
        <v>41</v>
      </c>
      <c r="B25" s="70">
        <v>33.5</v>
      </c>
      <c r="C25" s="64"/>
      <c r="D25" s="64"/>
      <c r="E25" s="64"/>
      <c r="F25" s="60"/>
    </row>
    <row r="26" spans="1:6" ht="16" x14ac:dyDescent="0.35">
      <c r="A26" s="67" t="s">
        <v>42</v>
      </c>
      <c r="B26" s="70">
        <v>21.1</v>
      </c>
      <c r="C26" s="64"/>
      <c r="D26" s="64"/>
      <c r="E26" s="64"/>
      <c r="F26" s="60"/>
    </row>
    <row r="27" spans="1:6" x14ac:dyDescent="0.35">
      <c r="A27" s="67"/>
      <c r="B27" s="70"/>
      <c r="C27" s="64"/>
      <c r="D27" s="64"/>
      <c r="E27" s="64"/>
      <c r="F27" s="60"/>
    </row>
    <row r="28" spans="1:6" ht="16" x14ac:dyDescent="0.35">
      <c r="A28" s="67" t="s">
        <v>43</v>
      </c>
      <c r="B28" s="70">
        <v>38.799999999999997</v>
      </c>
      <c r="C28" s="64"/>
      <c r="D28" s="64"/>
      <c r="E28" s="64"/>
      <c r="F28" s="60"/>
    </row>
    <row r="29" spans="1:6" x14ac:dyDescent="0.35">
      <c r="A29" s="69"/>
      <c r="B29" s="70"/>
      <c r="C29" s="64"/>
      <c r="D29" s="64"/>
      <c r="E29" s="64"/>
      <c r="F29" s="60"/>
    </row>
    <row r="30" spans="1:6" ht="16" x14ac:dyDescent="0.35">
      <c r="A30" s="67" t="s">
        <v>44</v>
      </c>
      <c r="B30" s="70"/>
      <c r="C30" s="64"/>
      <c r="D30" s="64"/>
      <c r="E30" s="64"/>
      <c r="F30" s="60"/>
    </row>
    <row r="31" spans="1:6" x14ac:dyDescent="0.35">
      <c r="A31" s="67" t="s">
        <v>36</v>
      </c>
      <c r="B31" s="70">
        <v>35.700000000000003</v>
      </c>
      <c r="C31" s="64"/>
      <c r="D31" s="64"/>
      <c r="E31" s="64"/>
      <c r="F31" s="60"/>
    </row>
    <row r="32" spans="1:6" x14ac:dyDescent="0.35">
      <c r="A32" s="67" t="s">
        <v>37</v>
      </c>
      <c r="B32" s="70">
        <v>42.6</v>
      </c>
      <c r="C32" s="64"/>
      <c r="D32" s="64"/>
      <c r="E32" s="64"/>
      <c r="F32" s="60"/>
    </row>
    <row r="33" spans="1:6" x14ac:dyDescent="0.35">
      <c r="A33" s="67" t="s">
        <v>38</v>
      </c>
      <c r="B33" s="70">
        <v>59.6</v>
      </c>
      <c r="C33" s="64"/>
      <c r="D33" s="64"/>
      <c r="E33" s="64"/>
      <c r="F33" s="60"/>
    </row>
    <row r="34" spans="1:6" x14ac:dyDescent="0.35">
      <c r="A34" s="67" t="s">
        <v>39</v>
      </c>
      <c r="B34" s="70">
        <v>52.9</v>
      </c>
      <c r="C34" s="64"/>
      <c r="D34" s="64"/>
      <c r="E34" s="64"/>
      <c r="F34" s="60"/>
    </row>
    <row r="35" spans="1:6" x14ac:dyDescent="0.35">
      <c r="A35" s="73"/>
      <c r="B35" s="74"/>
      <c r="C35" s="64"/>
      <c r="D35" s="64"/>
      <c r="E35" s="64"/>
      <c r="F35" s="60"/>
    </row>
    <row r="36" spans="1:6" ht="83.25" customHeight="1" x14ac:dyDescent="0.35">
      <c r="A36" s="275" t="s">
        <v>339</v>
      </c>
      <c r="B36" s="277"/>
      <c r="C36" s="64"/>
      <c r="D36" s="64"/>
      <c r="E36" s="64"/>
      <c r="F36" s="60"/>
    </row>
    <row r="37" spans="1:6" ht="54" customHeight="1" x14ac:dyDescent="0.35">
      <c r="A37" s="275" t="s">
        <v>45</v>
      </c>
      <c r="B37" s="277"/>
      <c r="C37" s="64"/>
      <c r="D37" s="64"/>
      <c r="E37" s="64"/>
      <c r="F37" s="60"/>
    </row>
    <row r="38" spans="1:6" ht="58.5" customHeight="1" x14ac:dyDescent="0.35">
      <c r="A38" s="275" t="s">
        <v>340</v>
      </c>
      <c r="B38" s="277"/>
      <c r="C38" s="64"/>
      <c r="D38" s="64"/>
      <c r="E38" s="64"/>
      <c r="F38" s="60"/>
    </row>
    <row r="39" spans="1:6" ht="25.5" customHeight="1" x14ac:dyDescent="0.35">
      <c r="A39" s="297" t="s">
        <v>46</v>
      </c>
      <c r="B39" s="298"/>
      <c r="C39" s="64"/>
      <c r="D39" s="64"/>
      <c r="E39" s="64"/>
      <c r="F39" s="60"/>
    </row>
    <row r="40" spans="1:6" ht="23.25" customHeight="1" x14ac:dyDescent="0.35">
      <c r="A40" s="299" t="s">
        <v>47</v>
      </c>
      <c r="B40" s="300"/>
      <c r="C40" s="64"/>
      <c r="D40" s="64"/>
      <c r="E40" s="64"/>
      <c r="F40" s="60"/>
    </row>
    <row r="41" spans="1:6" x14ac:dyDescent="0.35">
      <c r="A41" s="5" t="s">
        <v>205</v>
      </c>
      <c r="B41" s="64"/>
      <c r="C41" s="64"/>
      <c r="D41" s="64"/>
      <c r="E41" s="64"/>
      <c r="F41" s="60"/>
    </row>
    <row r="42" spans="1:6" x14ac:dyDescent="0.35">
      <c r="A42" s="63" t="s">
        <v>269</v>
      </c>
      <c r="B42" s="64"/>
      <c r="C42" s="64"/>
      <c r="D42" s="64"/>
      <c r="E42" s="64"/>
      <c r="F42" s="60"/>
    </row>
    <row r="43" spans="1:6" x14ac:dyDescent="0.35">
      <c r="A43" s="75" t="s">
        <v>48</v>
      </c>
      <c r="B43" s="76" t="s">
        <v>49</v>
      </c>
      <c r="C43" s="64"/>
      <c r="D43" s="64"/>
      <c r="E43" s="64"/>
      <c r="F43" s="60"/>
    </row>
    <row r="44" spans="1:6" ht="16" x14ac:dyDescent="0.35">
      <c r="A44" s="67" t="s">
        <v>53</v>
      </c>
      <c r="B44" s="77">
        <v>1.34</v>
      </c>
      <c r="C44" s="64"/>
      <c r="D44" s="64"/>
      <c r="E44" s="64"/>
      <c r="F44" s="60"/>
    </row>
    <row r="45" spans="1:6" x14ac:dyDescent="0.35">
      <c r="A45" s="67" t="s">
        <v>50</v>
      </c>
      <c r="B45" s="77">
        <v>1.41</v>
      </c>
      <c r="C45" s="64"/>
      <c r="D45" s="64"/>
      <c r="E45" s="64"/>
      <c r="F45" s="60"/>
    </row>
    <row r="46" spans="1:6" x14ac:dyDescent="0.35">
      <c r="A46" s="67" t="s">
        <v>51</v>
      </c>
      <c r="B46" s="77">
        <v>1.81</v>
      </c>
      <c r="C46" s="64"/>
      <c r="D46" s="64"/>
      <c r="E46" s="64"/>
      <c r="F46" s="60"/>
    </row>
    <row r="47" spans="1:6" x14ac:dyDescent="0.35">
      <c r="A47" s="67" t="s">
        <v>52</v>
      </c>
      <c r="B47" s="77">
        <v>1.52</v>
      </c>
      <c r="C47" s="64"/>
      <c r="D47" s="64"/>
      <c r="E47" s="64"/>
      <c r="F47" s="60"/>
    </row>
    <row r="48" spans="1:6" x14ac:dyDescent="0.35">
      <c r="A48" s="65"/>
      <c r="B48" s="72"/>
      <c r="C48" s="64"/>
      <c r="D48" s="64"/>
      <c r="E48" s="64"/>
      <c r="F48" s="60"/>
    </row>
    <row r="49" spans="1:6" ht="45" customHeight="1" x14ac:dyDescent="0.35">
      <c r="A49" s="293" t="s">
        <v>54</v>
      </c>
      <c r="B49" s="295"/>
      <c r="C49" s="64"/>
      <c r="D49" s="64"/>
      <c r="E49" s="64"/>
      <c r="F49" s="60"/>
    </row>
    <row r="50" spans="1:6" x14ac:dyDescent="0.35">
      <c r="A50" s="5" t="s">
        <v>205</v>
      </c>
      <c r="B50" s="64"/>
      <c r="C50" s="64"/>
      <c r="D50" s="64"/>
      <c r="E50" s="64"/>
      <c r="F50" s="60"/>
    </row>
    <row r="51" spans="1:6" x14ac:dyDescent="0.35">
      <c r="A51" s="63" t="s">
        <v>270</v>
      </c>
      <c r="B51" s="64"/>
      <c r="C51" s="64"/>
      <c r="D51" s="64"/>
      <c r="E51" s="64"/>
      <c r="F51" s="60"/>
    </row>
    <row r="52" spans="1:6" ht="30" customHeight="1" x14ac:dyDescent="0.35">
      <c r="A52" s="75" t="s">
        <v>48</v>
      </c>
      <c r="B52" s="76" t="s">
        <v>343</v>
      </c>
      <c r="C52" s="64"/>
      <c r="D52" s="64"/>
      <c r="E52" s="64"/>
      <c r="F52" s="60"/>
    </row>
    <row r="53" spans="1:6" ht="16" x14ac:dyDescent="0.35">
      <c r="A53" s="67" t="s">
        <v>77</v>
      </c>
      <c r="B53" s="78">
        <v>0.56000000000000005</v>
      </c>
      <c r="C53" s="64"/>
      <c r="D53" s="64"/>
      <c r="E53" s="64"/>
      <c r="F53" s="60"/>
    </row>
    <row r="54" spans="1:6" ht="16" x14ac:dyDescent="0.35">
      <c r="A54" s="67" t="s">
        <v>78</v>
      </c>
      <c r="B54" s="78">
        <v>1.27</v>
      </c>
      <c r="C54" s="64"/>
      <c r="D54" s="64"/>
      <c r="E54" s="64"/>
      <c r="F54" s="60"/>
    </row>
    <row r="55" spans="1:6" x14ac:dyDescent="0.35">
      <c r="A55" s="65"/>
      <c r="B55" s="72"/>
      <c r="C55" s="64"/>
      <c r="D55" s="64"/>
      <c r="E55" s="64"/>
      <c r="F55" s="60"/>
    </row>
    <row r="56" spans="1:6" ht="68.25" customHeight="1" x14ac:dyDescent="0.35">
      <c r="A56" s="275" t="s">
        <v>55</v>
      </c>
      <c r="B56" s="277"/>
      <c r="C56" s="64"/>
      <c r="D56" s="64"/>
      <c r="E56" s="64"/>
      <c r="F56" s="60"/>
    </row>
    <row r="57" spans="1:6" ht="72" customHeight="1" x14ac:dyDescent="0.35">
      <c r="A57" s="293" t="s">
        <v>56</v>
      </c>
      <c r="B57" s="295"/>
      <c r="C57" s="64"/>
      <c r="D57" s="64"/>
      <c r="E57" s="64"/>
      <c r="F57" s="60"/>
    </row>
    <row r="58" spans="1:6" x14ac:dyDescent="0.35">
      <c r="A58" s="5" t="s">
        <v>205</v>
      </c>
      <c r="B58" s="64"/>
      <c r="C58" s="64"/>
      <c r="D58" s="64"/>
      <c r="E58" s="64"/>
      <c r="F58" s="60"/>
    </row>
    <row r="59" spans="1:6" x14ac:dyDescent="0.35">
      <c r="A59" s="63" t="s">
        <v>271</v>
      </c>
      <c r="B59" s="64"/>
      <c r="C59" s="64"/>
      <c r="D59" s="64"/>
      <c r="E59" s="64"/>
      <c r="F59" s="60"/>
    </row>
    <row r="60" spans="1:6" x14ac:dyDescent="0.35">
      <c r="A60" s="79"/>
      <c r="B60" s="285" t="s">
        <v>344</v>
      </c>
      <c r="C60" s="286"/>
      <c r="D60" s="287"/>
      <c r="E60" s="64"/>
      <c r="F60" s="60"/>
    </row>
    <row r="61" spans="1:6" ht="17" x14ac:dyDescent="0.35">
      <c r="A61" s="79" t="s">
        <v>273</v>
      </c>
      <c r="B61" s="79" t="s">
        <v>284</v>
      </c>
      <c r="C61" s="79" t="s">
        <v>285</v>
      </c>
      <c r="D61" s="79" t="s">
        <v>286</v>
      </c>
      <c r="E61" s="64"/>
      <c r="F61" s="60"/>
    </row>
    <row r="62" spans="1:6" x14ac:dyDescent="0.35">
      <c r="A62" s="125" t="s">
        <v>274</v>
      </c>
      <c r="B62" s="125"/>
      <c r="C62" s="125"/>
      <c r="D62" s="126"/>
      <c r="E62" s="64"/>
      <c r="F62" s="60"/>
    </row>
    <row r="63" spans="1:6" x14ac:dyDescent="0.35">
      <c r="A63" s="67" t="s">
        <v>275</v>
      </c>
      <c r="B63" s="123">
        <v>262</v>
      </c>
      <c r="C63" s="123">
        <v>776</v>
      </c>
      <c r="D63" s="123">
        <v>29</v>
      </c>
      <c r="E63" s="64"/>
      <c r="F63" s="60"/>
    </row>
    <row r="64" spans="1:6" x14ac:dyDescent="0.35">
      <c r="A64" s="67" t="s">
        <v>276</v>
      </c>
      <c r="B64" s="123">
        <v>282</v>
      </c>
      <c r="C64" s="123">
        <v>106</v>
      </c>
      <c r="D64" s="123">
        <v>27</v>
      </c>
      <c r="E64" s="64"/>
      <c r="F64" s="60"/>
    </row>
    <row r="65" spans="1:6" x14ac:dyDescent="0.35">
      <c r="A65" s="67" t="s">
        <v>277</v>
      </c>
      <c r="B65" s="123">
        <v>718</v>
      </c>
      <c r="C65" s="123">
        <v>106</v>
      </c>
      <c r="D65" s="123">
        <v>27</v>
      </c>
      <c r="E65" s="64"/>
      <c r="F65" s="60"/>
    </row>
    <row r="66" spans="1:6" x14ac:dyDescent="0.35">
      <c r="A66" s="67" t="s">
        <v>278</v>
      </c>
      <c r="B66" s="123">
        <v>323</v>
      </c>
      <c r="C66" s="123">
        <v>106</v>
      </c>
      <c r="D66" s="123">
        <v>27</v>
      </c>
      <c r="E66" s="64"/>
      <c r="F66" s="60"/>
    </row>
    <row r="67" spans="1:6" x14ac:dyDescent="0.35">
      <c r="A67" s="125" t="s">
        <v>279</v>
      </c>
      <c r="B67" s="125"/>
      <c r="C67" s="125"/>
      <c r="D67" s="127"/>
      <c r="E67" s="64"/>
      <c r="F67" s="60"/>
    </row>
    <row r="68" spans="1:6" x14ac:dyDescent="0.35">
      <c r="A68" s="67" t="s">
        <v>275</v>
      </c>
      <c r="B68" s="123">
        <v>706</v>
      </c>
      <c r="C68" s="123">
        <v>2284</v>
      </c>
      <c r="D68" s="123">
        <v>290</v>
      </c>
      <c r="E68" s="64"/>
      <c r="F68" s="60"/>
    </row>
    <row r="69" spans="1:6" x14ac:dyDescent="0.35">
      <c r="A69" s="67" t="s">
        <v>276</v>
      </c>
      <c r="B69" s="123">
        <v>687</v>
      </c>
      <c r="C69" s="123">
        <v>755</v>
      </c>
      <c r="D69" s="123">
        <v>226</v>
      </c>
      <c r="E69" s="64"/>
      <c r="F69" s="60"/>
    </row>
    <row r="70" spans="1:6" x14ac:dyDescent="0.35">
      <c r="A70" s="67" t="s">
        <v>277</v>
      </c>
      <c r="B70" s="123">
        <v>1123</v>
      </c>
      <c r="C70" s="123">
        <v>755</v>
      </c>
      <c r="D70" s="123">
        <v>226</v>
      </c>
      <c r="E70" s="64"/>
      <c r="F70" s="60"/>
    </row>
    <row r="71" spans="1:6" x14ac:dyDescent="0.35">
      <c r="A71" s="67" t="s">
        <v>278</v>
      </c>
      <c r="B71" s="123">
        <v>728</v>
      </c>
      <c r="C71" s="123">
        <v>755</v>
      </c>
      <c r="D71" s="123">
        <v>226</v>
      </c>
      <c r="E71" s="64"/>
      <c r="F71" s="60"/>
    </row>
    <row r="72" spans="1:6" x14ac:dyDescent="0.35">
      <c r="A72" s="125" t="s">
        <v>280</v>
      </c>
      <c r="B72" s="125"/>
      <c r="C72" s="125"/>
      <c r="D72" s="128"/>
      <c r="E72" s="64"/>
      <c r="F72" s="60"/>
    </row>
    <row r="73" spans="1:6" x14ac:dyDescent="0.35">
      <c r="A73" s="67" t="s">
        <v>281</v>
      </c>
      <c r="B73" s="70">
        <v>1.07</v>
      </c>
      <c r="C73" s="124" t="s">
        <v>102</v>
      </c>
      <c r="D73" s="124" t="s">
        <v>102</v>
      </c>
      <c r="E73" s="64"/>
      <c r="F73" s="60"/>
    </row>
    <row r="74" spans="1:6" ht="28" customHeight="1" x14ac:dyDescent="0.35">
      <c r="A74" s="288" t="s">
        <v>283</v>
      </c>
      <c r="B74" s="288"/>
      <c r="C74" s="288"/>
      <c r="D74" s="289"/>
      <c r="E74" s="64"/>
      <c r="F74" s="60"/>
    </row>
    <row r="75" spans="1:6" ht="57.65" customHeight="1" x14ac:dyDescent="0.35">
      <c r="A75" s="283" t="s">
        <v>287</v>
      </c>
      <c r="B75" s="283"/>
      <c r="C75" s="283"/>
      <c r="D75" s="284"/>
      <c r="E75" s="64"/>
      <c r="F75" s="60"/>
    </row>
    <row r="76" spans="1:6" x14ac:dyDescent="0.35">
      <c r="A76" s="5" t="s">
        <v>205</v>
      </c>
      <c r="B76" s="64"/>
      <c r="C76" s="64"/>
      <c r="D76" s="64"/>
      <c r="E76" s="64"/>
      <c r="F76" s="60"/>
    </row>
    <row r="77" spans="1:6" x14ac:dyDescent="0.35">
      <c r="A77" s="63" t="s">
        <v>58</v>
      </c>
      <c r="B77" s="64"/>
      <c r="C77" s="64"/>
      <c r="D77" s="64"/>
      <c r="E77" s="64"/>
      <c r="F77" s="60"/>
    </row>
    <row r="78" spans="1:6" ht="17" x14ac:dyDescent="0.35">
      <c r="A78" s="79" t="s">
        <v>57</v>
      </c>
      <c r="B78" s="76" t="s">
        <v>207</v>
      </c>
      <c r="C78" s="76" t="s">
        <v>208</v>
      </c>
      <c r="D78" s="76" t="s">
        <v>209</v>
      </c>
      <c r="E78" s="76" t="s">
        <v>210</v>
      </c>
      <c r="F78" s="60"/>
    </row>
    <row r="79" spans="1:6" x14ac:dyDescent="0.35">
      <c r="A79" s="67">
        <v>2024</v>
      </c>
      <c r="B79" s="68">
        <v>20800</v>
      </c>
      <c r="C79" s="68">
        <v>55800</v>
      </c>
      <c r="D79" s="68">
        <v>998300</v>
      </c>
      <c r="E79" s="68">
        <v>241</v>
      </c>
      <c r="F79" s="60"/>
    </row>
    <row r="80" spans="1:6" x14ac:dyDescent="0.35">
      <c r="A80" s="67">
        <v>2025</v>
      </c>
      <c r="B80" s="68">
        <v>21100</v>
      </c>
      <c r="C80" s="68">
        <v>56800</v>
      </c>
      <c r="D80" s="68">
        <v>1011100</v>
      </c>
      <c r="E80" s="68">
        <v>246</v>
      </c>
      <c r="F80" s="60"/>
    </row>
    <row r="81" spans="1:6" x14ac:dyDescent="0.35">
      <c r="A81" s="67">
        <v>2026</v>
      </c>
      <c r="B81" s="68">
        <v>21400</v>
      </c>
      <c r="C81" s="68">
        <v>58100</v>
      </c>
      <c r="D81" s="68">
        <v>1029700</v>
      </c>
      <c r="E81" s="68">
        <v>250</v>
      </c>
      <c r="F81" s="60"/>
    </row>
    <row r="82" spans="1:6" x14ac:dyDescent="0.35">
      <c r="A82" s="67">
        <v>2027</v>
      </c>
      <c r="B82" s="68">
        <v>21800</v>
      </c>
      <c r="C82" s="68">
        <v>59500</v>
      </c>
      <c r="D82" s="68">
        <v>1048800</v>
      </c>
      <c r="E82" s="68">
        <v>254</v>
      </c>
      <c r="F82" s="60"/>
    </row>
    <row r="83" spans="1:6" x14ac:dyDescent="0.35">
      <c r="A83" s="67">
        <v>2028</v>
      </c>
      <c r="B83" s="68">
        <v>22100</v>
      </c>
      <c r="C83" s="68">
        <v>60800</v>
      </c>
      <c r="D83" s="68">
        <v>1068200</v>
      </c>
      <c r="E83" s="68">
        <v>259</v>
      </c>
      <c r="F83" s="60"/>
    </row>
    <row r="84" spans="1:6" x14ac:dyDescent="0.35">
      <c r="A84" s="67">
        <v>2029</v>
      </c>
      <c r="B84" s="68">
        <v>22500</v>
      </c>
      <c r="C84" s="68">
        <v>62300</v>
      </c>
      <c r="D84" s="68">
        <v>1087900</v>
      </c>
      <c r="E84" s="68">
        <v>262</v>
      </c>
      <c r="F84" s="60"/>
    </row>
    <row r="85" spans="1:6" x14ac:dyDescent="0.35">
      <c r="A85" s="67">
        <v>2030</v>
      </c>
      <c r="B85" s="68">
        <v>22900</v>
      </c>
      <c r="C85" s="68">
        <v>63700</v>
      </c>
      <c r="D85" s="68">
        <v>1108000</v>
      </c>
      <c r="E85" s="68">
        <v>267</v>
      </c>
      <c r="F85" s="60"/>
    </row>
    <row r="86" spans="1:6" x14ac:dyDescent="0.35">
      <c r="A86" s="67">
        <v>2031</v>
      </c>
      <c r="B86" s="68">
        <v>22900</v>
      </c>
      <c r="C86" s="68">
        <v>63700</v>
      </c>
      <c r="D86" s="68">
        <v>1108000</v>
      </c>
      <c r="E86" s="68">
        <v>272</v>
      </c>
      <c r="F86" s="60"/>
    </row>
    <row r="87" spans="1:6" x14ac:dyDescent="0.35">
      <c r="A87" s="67">
        <v>2032</v>
      </c>
      <c r="B87" s="68">
        <v>22900</v>
      </c>
      <c r="C87" s="68">
        <v>63700</v>
      </c>
      <c r="D87" s="68">
        <v>1108000</v>
      </c>
      <c r="E87" s="68">
        <v>275</v>
      </c>
      <c r="F87" s="60"/>
    </row>
    <row r="88" spans="1:6" x14ac:dyDescent="0.35">
      <c r="A88" s="67">
        <v>2033</v>
      </c>
      <c r="B88" s="68">
        <v>22900</v>
      </c>
      <c r="C88" s="68">
        <v>63700</v>
      </c>
      <c r="D88" s="68">
        <v>1108000</v>
      </c>
      <c r="E88" s="68">
        <v>280</v>
      </c>
      <c r="F88" s="60"/>
    </row>
    <row r="89" spans="1:6" x14ac:dyDescent="0.35">
      <c r="A89" s="67">
        <v>2034</v>
      </c>
      <c r="B89" s="68">
        <v>22900</v>
      </c>
      <c r="C89" s="68">
        <v>63700</v>
      </c>
      <c r="D89" s="68">
        <v>1108000</v>
      </c>
      <c r="E89" s="68">
        <v>284</v>
      </c>
      <c r="F89" s="60"/>
    </row>
    <row r="90" spans="1:6" x14ac:dyDescent="0.35">
      <c r="A90" s="67">
        <v>2035</v>
      </c>
      <c r="B90" s="68">
        <v>22900</v>
      </c>
      <c r="C90" s="68">
        <v>63700</v>
      </c>
      <c r="D90" s="68">
        <v>1108000</v>
      </c>
      <c r="E90" s="68">
        <v>288</v>
      </c>
      <c r="F90" s="60"/>
    </row>
    <row r="91" spans="1:6" x14ac:dyDescent="0.35">
      <c r="A91" s="67">
        <v>2036</v>
      </c>
      <c r="B91" s="68">
        <v>22900</v>
      </c>
      <c r="C91" s="68">
        <v>63700</v>
      </c>
      <c r="D91" s="68">
        <v>1108000</v>
      </c>
      <c r="E91" s="68">
        <v>292</v>
      </c>
      <c r="F91" s="60"/>
    </row>
    <row r="92" spans="1:6" x14ac:dyDescent="0.35">
      <c r="A92" s="67">
        <v>2037</v>
      </c>
      <c r="B92" s="68">
        <v>22900</v>
      </c>
      <c r="C92" s="68">
        <v>63700</v>
      </c>
      <c r="D92" s="68">
        <v>1108000</v>
      </c>
      <c r="E92" s="68">
        <v>297</v>
      </c>
      <c r="F92" s="60"/>
    </row>
    <row r="93" spans="1:6" x14ac:dyDescent="0.35">
      <c r="A93" s="67">
        <v>2038</v>
      </c>
      <c r="B93" s="68">
        <v>22900</v>
      </c>
      <c r="C93" s="68">
        <v>63700</v>
      </c>
      <c r="D93" s="68">
        <v>1108000</v>
      </c>
      <c r="E93" s="68">
        <v>301</v>
      </c>
      <c r="F93" s="60"/>
    </row>
    <row r="94" spans="1:6" x14ac:dyDescent="0.35">
      <c r="A94" s="67">
        <v>2039</v>
      </c>
      <c r="B94" s="68">
        <v>22900</v>
      </c>
      <c r="C94" s="68">
        <v>63700</v>
      </c>
      <c r="D94" s="68">
        <v>1108000</v>
      </c>
      <c r="E94" s="68">
        <v>305</v>
      </c>
      <c r="F94" s="60"/>
    </row>
    <row r="95" spans="1:6" x14ac:dyDescent="0.35">
      <c r="A95" s="67">
        <v>2040</v>
      </c>
      <c r="B95" s="68">
        <v>22900</v>
      </c>
      <c r="C95" s="68">
        <v>63700</v>
      </c>
      <c r="D95" s="68">
        <v>1108000</v>
      </c>
      <c r="E95" s="68">
        <v>310</v>
      </c>
      <c r="F95" s="60"/>
    </row>
    <row r="96" spans="1:6" x14ac:dyDescent="0.35">
      <c r="A96" s="67">
        <v>2041</v>
      </c>
      <c r="B96" s="68">
        <v>22900</v>
      </c>
      <c r="C96" s="68">
        <v>63700</v>
      </c>
      <c r="D96" s="68">
        <v>1108000</v>
      </c>
      <c r="E96" s="68">
        <v>314</v>
      </c>
      <c r="F96" s="60"/>
    </row>
    <row r="97" spans="1:6" x14ac:dyDescent="0.35">
      <c r="A97" s="67">
        <v>2042</v>
      </c>
      <c r="B97" s="68">
        <v>22900</v>
      </c>
      <c r="C97" s="68">
        <v>63700</v>
      </c>
      <c r="D97" s="68">
        <v>1108000</v>
      </c>
      <c r="E97" s="68">
        <v>319</v>
      </c>
      <c r="F97" s="60"/>
    </row>
    <row r="98" spans="1:6" x14ac:dyDescent="0.35">
      <c r="A98" s="67">
        <v>2043</v>
      </c>
      <c r="B98" s="68">
        <v>22900</v>
      </c>
      <c r="C98" s="68">
        <v>63700</v>
      </c>
      <c r="D98" s="68">
        <v>1108000</v>
      </c>
      <c r="E98" s="68">
        <v>324</v>
      </c>
      <c r="F98" s="60"/>
    </row>
    <row r="99" spans="1:6" x14ac:dyDescent="0.35">
      <c r="A99" s="67">
        <v>2044</v>
      </c>
      <c r="B99" s="68">
        <v>22900</v>
      </c>
      <c r="C99" s="68">
        <v>63700</v>
      </c>
      <c r="D99" s="68">
        <v>1108000</v>
      </c>
      <c r="E99" s="68">
        <v>328</v>
      </c>
      <c r="F99" s="60"/>
    </row>
    <row r="100" spans="1:6" x14ac:dyDescent="0.35">
      <c r="A100" s="67">
        <v>2045</v>
      </c>
      <c r="B100" s="68">
        <v>22900</v>
      </c>
      <c r="C100" s="68">
        <v>63700</v>
      </c>
      <c r="D100" s="68">
        <v>1108000</v>
      </c>
      <c r="E100" s="68">
        <v>333</v>
      </c>
      <c r="F100" s="60"/>
    </row>
    <row r="101" spans="1:6" x14ac:dyDescent="0.35">
      <c r="A101" s="67">
        <v>2046</v>
      </c>
      <c r="B101" s="68">
        <v>22900</v>
      </c>
      <c r="C101" s="68">
        <v>63700</v>
      </c>
      <c r="D101" s="68">
        <v>1108000</v>
      </c>
      <c r="E101" s="68">
        <v>338</v>
      </c>
      <c r="F101" s="60"/>
    </row>
    <row r="102" spans="1:6" x14ac:dyDescent="0.35">
      <c r="A102" s="67">
        <v>2047</v>
      </c>
      <c r="B102" s="68">
        <v>22900</v>
      </c>
      <c r="C102" s="68">
        <v>63700</v>
      </c>
      <c r="D102" s="68">
        <v>1108000</v>
      </c>
      <c r="E102" s="68">
        <v>344</v>
      </c>
      <c r="F102" s="60"/>
    </row>
    <row r="103" spans="1:6" x14ac:dyDescent="0.35">
      <c r="A103" s="67">
        <v>2048</v>
      </c>
      <c r="B103" s="68">
        <v>22900</v>
      </c>
      <c r="C103" s="68">
        <v>63700</v>
      </c>
      <c r="D103" s="68">
        <v>1108000</v>
      </c>
      <c r="E103" s="68">
        <v>348</v>
      </c>
      <c r="F103" s="60"/>
    </row>
    <row r="104" spans="1:6" x14ac:dyDescent="0.35">
      <c r="A104" s="67">
        <v>2049</v>
      </c>
      <c r="B104" s="68">
        <v>22900</v>
      </c>
      <c r="C104" s="68">
        <v>63700</v>
      </c>
      <c r="D104" s="68">
        <v>1108000</v>
      </c>
      <c r="E104" s="68">
        <v>353</v>
      </c>
      <c r="F104" s="60"/>
    </row>
    <row r="105" spans="1:6" x14ac:dyDescent="0.35">
      <c r="A105" s="67">
        <v>2050</v>
      </c>
      <c r="B105" s="68">
        <v>22900</v>
      </c>
      <c r="C105" s="68">
        <v>63700</v>
      </c>
      <c r="D105" s="68">
        <v>1108000</v>
      </c>
      <c r="E105" s="68">
        <v>357</v>
      </c>
      <c r="F105" s="60"/>
    </row>
    <row r="106" spans="1:6" x14ac:dyDescent="0.35">
      <c r="A106" s="67">
        <v>2051</v>
      </c>
      <c r="B106" s="68">
        <v>22900</v>
      </c>
      <c r="C106" s="68">
        <v>63700</v>
      </c>
      <c r="D106" s="68">
        <v>1108000</v>
      </c>
      <c r="E106" s="68">
        <v>362</v>
      </c>
      <c r="F106" s="60"/>
    </row>
    <row r="107" spans="1:6" x14ac:dyDescent="0.35">
      <c r="A107" s="67">
        <v>2052</v>
      </c>
      <c r="B107" s="68">
        <v>22900</v>
      </c>
      <c r="C107" s="68">
        <v>63700</v>
      </c>
      <c r="D107" s="68">
        <v>1108000</v>
      </c>
      <c r="E107" s="68">
        <v>366</v>
      </c>
      <c r="F107" s="60"/>
    </row>
    <row r="108" spans="1:6" x14ac:dyDescent="0.35">
      <c r="A108" s="67">
        <v>2053</v>
      </c>
      <c r="B108" s="68">
        <v>22900</v>
      </c>
      <c r="C108" s="68">
        <v>63700</v>
      </c>
      <c r="D108" s="68">
        <v>1108000</v>
      </c>
      <c r="E108" s="82">
        <v>370</v>
      </c>
      <c r="F108" s="60"/>
    </row>
    <row r="109" spans="1:6" x14ac:dyDescent="0.35">
      <c r="A109" s="67">
        <v>2054</v>
      </c>
      <c r="B109" s="68">
        <v>22900</v>
      </c>
      <c r="C109" s="68">
        <v>63700</v>
      </c>
      <c r="D109" s="68">
        <v>1108000</v>
      </c>
      <c r="E109" s="82">
        <v>375</v>
      </c>
      <c r="F109" s="60"/>
    </row>
    <row r="110" spans="1:6" x14ac:dyDescent="0.35">
      <c r="A110" s="80"/>
      <c r="B110" s="81"/>
      <c r="C110" s="81"/>
      <c r="D110" s="81"/>
      <c r="E110" s="82"/>
      <c r="F110" s="60"/>
    </row>
    <row r="111" spans="1:6" x14ac:dyDescent="0.35">
      <c r="A111" s="301" t="s">
        <v>272</v>
      </c>
      <c r="B111" s="302"/>
      <c r="C111" s="302"/>
      <c r="D111" s="302"/>
      <c r="E111" s="303"/>
      <c r="F111" s="60"/>
    </row>
    <row r="112" spans="1:6" ht="17" x14ac:dyDescent="0.35">
      <c r="A112" s="304" t="s">
        <v>79</v>
      </c>
      <c r="B112" s="305"/>
      <c r="C112" s="305"/>
      <c r="D112" s="305"/>
      <c r="E112" s="306"/>
      <c r="F112" s="60"/>
    </row>
    <row r="113" spans="1:6" x14ac:dyDescent="0.35">
      <c r="A113" s="5" t="s">
        <v>205</v>
      </c>
      <c r="B113" s="64"/>
      <c r="C113" s="64"/>
      <c r="D113" s="64"/>
      <c r="E113" s="64"/>
      <c r="F113" s="60"/>
    </row>
    <row r="114" spans="1:6" x14ac:dyDescent="0.35">
      <c r="A114" s="63" t="s">
        <v>59</v>
      </c>
      <c r="B114" s="64"/>
      <c r="C114" s="64"/>
      <c r="D114" s="64"/>
      <c r="E114" s="64"/>
      <c r="F114" s="60"/>
    </row>
    <row r="115" spans="1:6" ht="34.5" customHeight="1" x14ac:dyDescent="0.35">
      <c r="A115" s="75" t="s">
        <v>60</v>
      </c>
      <c r="B115" s="76" t="s">
        <v>345</v>
      </c>
      <c r="C115" s="64"/>
      <c r="D115" s="64"/>
      <c r="E115" s="64"/>
      <c r="F115" s="60"/>
    </row>
    <row r="116" spans="1:6" x14ac:dyDescent="0.35">
      <c r="A116" s="83">
        <v>2004</v>
      </c>
      <c r="B116" s="77">
        <v>1.55</v>
      </c>
      <c r="C116" s="64"/>
      <c r="D116" s="64"/>
      <c r="E116" s="64"/>
      <c r="F116" s="60"/>
    </row>
    <row r="117" spans="1:6" x14ac:dyDescent="0.35">
      <c r="A117" s="83">
        <v>2005</v>
      </c>
      <c r="B117" s="77">
        <v>1.5</v>
      </c>
      <c r="C117" s="64"/>
      <c r="D117" s="64"/>
      <c r="E117" s="64"/>
      <c r="F117" s="60"/>
    </row>
    <row r="118" spans="1:6" x14ac:dyDescent="0.35">
      <c r="A118" s="83">
        <v>2006</v>
      </c>
      <c r="B118" s="77">
        <v>1.45</v>
      </c>
      <c r="C118" s="64"/>
      <c r="D118" s="64"/>
      <c r="E118" s="64"/>
      <c r="F118" s="60"/>
    </row>
    <row r="119" spans="1:6" x14ac:dyDescent="0.35">
      <c r="A119" s="83">
        <v>2007</v>
      </c>
      <c r="B119" s="77">
        <v>1.42</v>
      </c>
      <c r="C119" s="64"/>
      <c r="D119" s="64"/>
      <c r="E119" s="64"/>
      <c r="F119" s="60"/>
    </row>
    <row r="120" spans="1:6" x14ac:dyDescent="0.35">
      <c r="A120" s="83">
        <v>2008</v>
      </c>
      <c r="B120" s="77">
        <v>1.39</v>
      </c>
      <c r="C120" s="64"/>
      <c r="D120" s="64"/>
      <c r="E120" s="64"/>
      <c r="F120" s="60"/>
    </row>
    <row r="121" spans="1:6" x14ac:dyDescent="0.35">
      <c r="A121" s="83">
        <v>2009</v>
      </c>
      <c r="B121" s="77">
        <v>1.38</v>
      </c>
      <c r="C121" s="64"/>
      <c r="D121" s="64"/>
      <c r="E121" s="64"/>
      <c r="F121" s="60"/>
    </row>
    <row r="122" spans="1:6" x14ac:dyDescent="0.35">
      <c r="A122" s="83">
        <v>2010</v>
      </c>
      <c r="B122" s="77">
        <v>1.36</v>
      </c>
      <c r="C122" s="64"/>
      <c r="D122" s="64"/>
      <c r="E122" s="64"/>
      <c r="F122" s="60"/>
    </row>
    <row r="123" spans="1:6" x14ac:dyDescent="0.35">
      <c r="A123" s="83">
        <v>2011</v>
      </c>
      <c r="B123" s="77">
        <v>1.34</v>
      </c>
      <c r="C123" s="64"/>
      <c r="D123" s="64"/>
      <c r="E123" s="64"/>
      <c r="F123" s="60"/>
    </row>
    <row r="124" spans="1:6" x14ac:dyDescent="0.35">
      <c r="A124" s="83">
        <v>2012</v>
      </c>
      <c r="B124" s="77">
        <v>1.31</v>
      </c>
      <c r="C124" s="64"/>
      <c r="D124" s="64"/>
      <c r="E124" s="64"/>
      <c r="F124" s="60"/>
    </row>
    <row r="125" spans="1:6" x14ac:dyDescent="0.35">
      <c r="A125" s="83">
        <v>2013</v>
      </c>
      <c r="B125" s="77">
        <v>1.29</v>
      </c>
      <c r="C125" s="64"/>
      <c r="D125" s="64"/>
      <c r="E125" s="64"/>
      <c r="F125" s="60"/>
    </row>
    <row r="126" spans="1:6" x14ac:dyDescent="0.35">
      <c r="A126" s="83">
        <v>2014</v>
      </c>
      <c r="B126" s="77">
        <v>1.27</v>
      </c>
      <c r="C126" s="64"/>
      <c r="D126" s="64"/>
      <c r="E126" s="64"/>
      <c r="F126" s="60"/>
    </row>
    <row r="127" spans="1:6" x14ac:dyDescent="0.35">
      <c r="A127" s="83">
        <v>2015</v>
      </c>
      <c r="B127" s="77">
        <v>1.26</v>
      </c>
      <c r="C127" s="64"/>
      <c r="D127" s="64"/>
      <c r="E127" s="64"/>
      <c r="F127" s="60"/>
    </row>
    <row r="128" spans="1:6" x14ac:dyDescent="0.35">
      <c r="A128" s="83">
        <v>2016</v>
      </c>
      <c r="B128" s="77">
        <v>1.24</v>
      </c>
      <c r="C128" s="64"/>
      <c r="D128" s="64"/>
      <c r="E128" s="64"/>
      <c r="F128" s="60"/>
    </row>
    <row r="129" spans="1:6" x14ac:dyDescent="0.35">
      <c r="A129" s="83">
        <v>2017</v>
      </c>
      <c r="B129" s="77">
        <v>1.22</v>
      </c>
      <c r="C129" s="64"/>
      <c r="D129" s="64"/>
      <c r="E129" s="64"/>
      <c r="F129" s="60"/>
    </row>
    <row r="130" spans="1:6" x14ac:dyDescent="0.35">
      <c r="A130" s="83">
        <v>2018</v>
      </c>
      <c r="B130" s="77">
        <v>1.2</v>
      </c>
      <c r="C130" s="64"/>
      <c r="D130" s="64"/>
      <c r="E130" s="64"/>
      <c r="F130" s="60"/>
    </row>
    <row r="131" spans="1:6" x14ac:dyDescent="0.35">
      <c r="A131" s="83">
        <v>2019</v>
      </c>
      <c r="B131" s="77">
        <v>1.18</v>
      </c>
      <c r="C131" s="64"/>
      <c r="D131" s="64"/>
      <c r="E131" s="64"/>
      <c r="F131" s="60"/>
    </row>
    <row r="132" spans="1:6" x14ac:dyDescent="0.35">
      <c r="A132" s="83">
        <v>2020</v>
      </c>
      <c r="B132" s="77">
        <v>1.1599999999999999</v>
      </c>
      <c r="C132" s="64"/>
      <c r="D132" s="64"/>
      <c r="E132" s="64"/>
      <c r="F132" s="60"/>
    </row>
    <row r="133" spans="1:6" x14ac:dyDescent="0.35">
      <c r="A133" s="83">
        <v>2021</v>
      </c>
      <c r="B133" s="77">
        <v>1.1100000000000001</v>
      </c>
      <c r="C133" s="64"/>
      <c r="D133" s="64"/>
      <c r="E133" s="64"/>
      <c r="F133" s="60"/>
    </row>
    <row r="134" spans="1:6" x14ac:dyDescent="0.35">
      <c r="A134" s="83">
        <v>2022</v>
      </c>
      <c r="B134" s="77">
        <v>1.04</v>
      </c>
      <c r="C134" s="64"/>
      <c r="D134" s="64"/>
      <c r="E134" s="64"/>
      <c r="F134" s="60"/>
    </row>
    <row r="135" spans="1:6" x14ac:dyDescent="0.35">
      <c r="A135" s="83">
        <v>2023</v>
      </c>
      <c r="B135" s="77">
        <v>1</v>
      </c>
      <c r="C135" s="64"/>
      <c r="D135" s="64"/>
      <c r="E135" s="64"/>
      <c r="F135" s="60"/>
    </row>
    <row r="136" spans="1:6" x14ac:dyDescent="0.35">
      <c r="A136" s="5" t="s">
        <v>205</v>
      </c>
      <c r="B136" s="64"/>
      <c r="C136" s="64"/>
      <c r="D136" s="64"/>
      <c r="E136" s="64"/>
      <c r="F136" s="60"/>
    </row>
    <row r="137" spans="1:6" x14ac:dyDescent="0.35">
      <c r="A137" s="63" t="s">
        <v>61</v>
      </c>
      <c r="B137" s="64"/>
      <c r="C137" s="64"/>
      <c r="D137" s="64"/>
      <c r="E137" s="64"/>
      <c r="F137" s="60"/>
    </row>
    <row r="138" spans="1:6" ht="51.75" customHeight="1" x14ac:dyDescent="0.35">
      <c r="A138" s="75" t="s">
        <v>62</v>
      </c>
      <c r="B138" s="76" t="s">
        <v>346</v>
      </c>
      <c r="C138" s="64"/>
      <c r="D138" s="64"/>
      <c r="E138" s="64"/>
      <c r="F138" s="60"/>
    </row>
    <row r="139" spans="1:6" ht="16" x14ac:dyDescent="0.35">
      <c r="A139" s="84" t="s">
        <v>80</v>
      </c>
      <c r="B139" s="70">
        <v>0.11</v>
      </c>
      <c r="C139" s="64" t="s">
        <v>386</v>
      </c>
      <c r="D139" s="64"/>
      <c r="E139" s="64"/>
      <c r="F139" s="60"/>
    </row>
    <row r="140" spans="1:6" x14ac:dyDescent="0.35">
      <c r="A140" s="84" t="s">
        <v>63</v>
      </c>
      <c r="B140" s="70">
        <v>1.2</v>
      </c>
      <c r="C140" s="64"/>
      <c r="D140" s="64"/>
      <c r="E140" s="64"/>
      <c r="F140" s="60"/>
    </row>
    <row r="141" spans="1:6" x14ac:dyDescent="0.35">
      <c r="A141" s="84" t="s">
        <v>81</v>
      </c>
      <c r="B141" s="70">
        <v>0.1</v>
      </c>
      <c r="D141" s="64"/>
      <c r="E141" s="64"/>
      <c r="F141" s="60"/>
    </row>
    <row r="142" spans="1:6" ht="30" customHeight="1" x14ac:dyDescent="0.35">
      <c r="A142" s="85" t="s">
        <v>64</v>
      </c>
      <c r="B142" s="86">
        <v>1.1000000000000001E-3</v>
      </c>
      <c r="C142" s="64"/>
      <c r="D142" s="64"/>
      <c r="E142" s="64"/>
      <c r="F142" s="60"/>
    </row>
    <row r="143" spans="1:6" x14ac:dyDescent="0.35">
      <c r="A143" s="5" t="s">
        <v>205</v>
      </c>
      <c r="B143" s="4"/>
      <c r="C143" s="64"/>
      <c r="D143" s="64"/>
      <c r="E143" s="64"/>
      <c r="F143" s="60"/>
    </row>
    <row r="144" spans="1:6" ht="30" x14ac:dyDescent="0.35">
      <c r="A144" s="75" t="s">
        <v>62</v>
      </c>
      <c r="B144" s="76" t="s">
        <v>347</v>
      </c>
      <c r="C144" s="64"/>
      <c r="D144" s="64"/>
      <c r="E144" s="64"/>
      <c r="F144" s="60"/>
    </row>
    <row r="145" spans="1:6" ht="34.5" customHeight="1" x14ac:dyDescent="0.35">
      <c r="A145" s="85" t="s">
        <v>82</v>
      </c>
      <c r="B145" s="70">
        <v>0.21</v>
      </c>
      <c r="C145" s="64" t="s">
        <v>386</v>
      </c>
      <c r="D145" s="64"/>
      <c r="E145" s="64"/>
      <c r="F145" s="60"/>
    </row>
    <row r="146" spans="1:6" ht="35.25" customHeight="1" x14ac:dyDescent="0.35">
      <c r="A146" s="85" t="s">
        <v>65</v>
      </c>
      <c r="B146" s="70">
        <v>0.55000000000000004</v>
      </c>
      <c r="C146" s="64" t="s">
        <v>386</v>
      </c>
      <c r="D146" s="64"/>
      <c r="E146" s="64"/>
      <c r="F146" s="60"/>
    </row>
    <row r="147" spans="1:6" x14ac:dyDescent="0.35">
      <c r="A147" s="87"/>
      <c r="B147" s="88"/>
      <c r="C147" s="64"/>
      <c r="D147" s="64"/>
      <c r="E147" s="64"/>
      <c r="F147" s="60"/>
    </row>
    <row r="148" spans="1:6" ht="111" customHeight="1" x14ac:dyDescent="0.35">
      <c r="A148" s="275" t="s">
        <v>66</v>
      </c>
      <c r="B148" s="280"/>
      <c r="C148" s="64"/>
      <c r="D148" s="64"/>
      <c r="E148" s="64"/>
      <c r="F148" s="60"/>
    </row>
    <row r="149" spans="1:6" ht="36" customHeight="1" thickBot="1" x14ac:dyDescent="0.4">
      <c r="A149" s="281" t="s">
        <v>67</v>
      </c>
      <c r="B149" s="282"/>
      <c r="C149" s="64"/>
      <c r="D149" s="64"/>
      <c r="E149" s="64"/>
      <c r="F149" s="60"/>
    </row>
    <row r="150" spans="1:6" x14ac:dyDescent="0.35">
      <c r="A150" s="5" t="s">
        <v>205</v>
      </c>
      <c r="B150" s="64"/>
      <c r="C150" s="64"/>
      <c r="D150" s="64"/>
      <c r="E150" s="64"/>
      <c r="F150" s="60"/>
    </row>
    <row r="151" spans="1:6" x14ac:dyDescent="0.35">
      <c r="A151" s="63" t="s">
        <v>68</v>
      </c>
      <c r="B151" s="64"/>
      <c r="C151" s="64"/>
      <c r="D151" s="64"/>
      <c r="E151" s="64"/>
      <c r="F151" s="60"/>
    </row>
    <row r="152" spans="1:6" ht="36.75" customHeight="1" x14ac:dyDescent="0.35">
      <c r="A152" s="75" t="s">
        <v>69</v>
      </c>
      <c r="B152" s="76" t="s">
        <v>348</v>
      </c>
      <c r="C152" s="64"/>
      <c r="D152" s="64"/>
      <c r="E152" s="64"/>
      <c r="F152" s="60"/>
    </row>
    <row r="153" spans="1:6" x14ac:dyDescent="0.35">
      <c r="A153" s="67" t="s">
        <v>70</v>
      </c>
      <c r="B153" s="78">
        <v>1.7</v>
      </c>
      <c r="C153" s="64" t="s">
        <v>386</v>
      </c>
      <c r="D153" s="64"/>
      <c r="E153" s="64"/>
      <c r="F153" s="60"/>
    </row>
    <row r="154" spans="1:6" ht="16" x14ac:dyDescent="0.35">
      <c r="A154" s="67" t="s">
        <v>74</v>
      </c>
      <c r="B154" s="78">
        <v>2.13</v>
      </c>
      <c r="C154" s="64"/>
      <c r="D154" s="64"/>
      <c r="E154" s="64"/>
      <c r="F154" s="60"/>
    </row>
    <row r="155" spans="1:6" x14ac:dyDescent="0.35">
      <c r="A155" s="67" t="s">
        <v>71</v>
      </c>
      <c r="B155" s="78">
        <v>2.02</v>
      </c>
      <c r="C155" s="64"/>
      <c r="D155" s="64"/>
      <c r="E155" s="64"/>
      <c r="F155" s="60"/>
    </row>
    <row r="156" spans="1:6" x14ac:dyDescent="0.35">
      <c r="A156" s="67" t="s">
        <v>72</v>
      </c>
      <c r="B156" s="78">
        <v>0.32</v>
      </c>
      <c r="C156" s="64"/>
      <c r="D156" s="64"/>
      <c r="E156" s="64"/>
      <c r="F156" s="60"/>
    </row>
    <row r="157" spans="1:6" x14ac:dyDescent="0.35">
      <c r="A157" s="67" t="s">
        <v>73</v>
      </c>
      <c r="B157" s="78">
        <v>2.02</v>
      </c>
      <c r="C157" s="64"/>
      <c r="D157" s="64"/>
      <c r="E157" s="64"/>
      <c r="F157" s="60"/>
    </row>
    <row r="158" spans="1:6" x14ac:dyDescent="0.35">
      <c r="A158" s="65"/>
      <c r="B158" s="4"/>
      <c r="C158" s="64"/>
      <c r="D158" s="64"/>
      <c r="E158" s="64"/>
      <c r="F158" s="60"/>
    </row>
    <row r="159" spans="1:6" ht="153.75" customHeight="1" x14ac:dyDescent="0.35">
      <c r="A159" s="275" t="s">
        <v>76</v>
      </c>
      <c r="B159" s="280"/>
      <c r="C159" s="64"/>
      <c r="D159" s="64"/>
      <c r="E159" s="64"/>
      <c r="F159" s="60"/>
    </row>
    <row r="160" spans="1:6" ht="50.25" customHeight="1" thickBot="1" x14ac:dyDescent="0.4">
      <c r="A160" s="281" t="s">
        <v>75</v>
      </c>
      <c r="B160" s="282"/>
      <c r="C160" s="64"/>
      <c r="D160" s="64"/>
      <c r="E160" s="64"/>
      <c r="F160" s="60"/>
    </row>
    <row r="161" spans="1:6" x14ac:dyDescent="0.35">
      <c r="A161" s="5" t="s">
        <v>205</v>
      </c>
      <c r="F161" s="60"/>
    </row>
    <row r="162" spans="1:6" x14ac:dyDescent="0.35">
      <c r="A162" s="63" t="s">
        <v>83</v>
      </c>
      <c r="F162" s="60"/>
    </row>
    <row r="163" spans="1:6" ht="15.75" customHeight="1" x14ac:dyDescent="0.35">
      <c r="A163" s="279" t="s">
        <v>84</v>
      </c>
      <c r="B163" s="278" t="s">
        <v>349</v>
      </c>
      <c r="C163" s="278"/>
      <c r="D163" s="278"/>
      <c r="F163" s="60"/>
    </row>
    <row r="164" spans="1:6" ht="37.5" customHeight="1" x14ac:dyDescent="0.35">
      <c r="A164" s="279"/>
      <c r="B164" s="76" t="s">
        <v>86</v>
      </c>
      <c r="C164" s="76" t="s">
        <v>88</v>
      </c>
      <c r="D164" s="76" t="s">
        <v>87</v>
      </c>
      <c r="F164" s="60"/>
    </row>
    <row r="165" spans="1:6" x14ac:dyDescent="0.35">
      <c r="A165" s="89" t="s">
        <v>89</v>
      </c>
      <c r="B165" s="90">
        <v>0.04</v>
      </c>
      <c r="C165" s="90">
        <v>0.04</v>
      </c>
      <c r="D165" s="90">
        <v>7.0000000000000007E-2</v>
      </c>
      <c r="F165" s="60"/>
    </row>
    <row r="166" spans="1:6" x14ac:dyDescent="0.35">
      <c r="A166" s="89" t="s">
        <v>90</v>
      </c>
      <c r="B166" s="90">
        <v>0.35</v>
      </c>
      <c r="C166" s="90">
        <v>0.17</v>
      </c>
      <c r="D166" s="90">
        <v>0.97</v>
      </c>
      <c r="F166" s="60"/>
    </row>
    <row r="167" spans="1:6" x14ac:dyDescent="0.35">
      <c r="A167" s="89" t="s">
        <v>91</v>
      </c>
      <c r="B167" s="90">
        <v>0.26</v>
      </c>
      <c r="C167" s="90">
        <v>0.26</v>
      </c>
      <c r="D167" s="90">
        <v>0.12</v>
      </c>
      <c r="F167" s="60"/>
    </row>
    <row r="168" spans="1:6" x14ac:dyDescent="0.35">
      <c r="A168" s="89" t="s">
        <v>92</v>
      </c>
      <c r="B168" s="90">
        <v>0.35</v>
      </c>
      <c r="C168" s="90">
        <v>0.06</v>
      </c>
      <c r="D168" s="90">
        <v>0.11</v>
      </c>
      <c r="F168" s="60"/>
    </row>
    <row r="169" spans="1:6" ht="16" x14ac:dyDescent="0.35">
      <c r="A169" s="89" t="s">
        <v>108</v>
      </c>
      <c r="B169" s="90">
        <v>0.21</v>
      </c>
      <c r="C169" s="90">
        <v>0.15</v>
      </c>
      <c r="D169" s="90">
        <v>0.14000000000000001</v>
      </c>
      <c r="F169" s="60"/>
    </row>
    <row r="170" spans="1:6" ht="16" x14ac:dyDescent="0.35">
      <c r="A170" s="89" t="s">
        <v>109</v>
      </c>
      <c r="B170" s="90">
        <v>0.28000000000000003</v>
      </c>
      <c r="C170" s="90">
        <v>0.18</v>
      </c>
      <c r="D170" s="90">
        <v>0.14000000000000001</v>
      </c>
      <c r="F170" s="60"/>
    </row>
    <row r="171" spans="1:6" x14ac:dyDescent="0.35">
      <c r="A171" s="89" t="s">
        <v>93</v>
      </c>
      <c r="B171" s="90">
        <v>0.16</v>
      </c>
      <c r="C171" s="90">
        <v>0.16</v>
      </c>
      <c r="D171" s="90">
        <v>0.12</v>
      </c>
      <c r="F171" s="60"/>
    </row>
    <row r="172" spans="1:6" x14ac:dyDescent="0.35">
      <c r="A172" s="89" t="s">
        <v>94</v>
      </c>
      <c r="B172" s="90">
        <v>0.12</v>
      </c>
      <c r="C172" s="90">
        <v>0.12</v>
      </c>
      <c r="D172" s="90">
        <v>7.0000000000000007E-2</v>
      </c>
      <c r="F172" s="60"/>
    </row>
    <row r="173" spans="1:6" x14ac:dyDescent="0.35">
      <c r="A173" s="89" t="s">
        <v>95</v>
      </c>
      <c r="B173" s="90">
        <v>0.08</v>
      </c>
      <c r="C173" s="90">
        <v>0.03</v>
      </c>
      <c r="D173" s="90">
        <v>0.2</v>
      </c>
      <c r="F173" s="60"/>
    </row>
    <row r="174" spans="1:6" x14ac:dyDescent="0.35">
      <c r="A174" s="89" t="s">
        <v>96</v>
      </c>
      <c r="B174" s="90">
        <v>0.36</v>
      </c>
      <c r="C174" s="90">
        <v>0.36</v>
      </c>
      <c r="D174" s="90">
        <v>0.23</v>
      </c>
      <c r="F174" s="60"/>
    </row>
    <row r="175" spans="1:6" x14ac:dyDescent="0.35">
      <c r="A175" s="89" t="s">
        <v>97</v>
      </c>
      <c r="B175" s="90">
        <v>0.47</v>
      </c>
      <c r="C175" s="90">
        <v>0.08</v>
      </c>
      <c r="D175" s="90">
        <v>0.08</v>
      </c>
      <c r="F175" s="60"/>
    </row>
    <row r="176" spans="1:6" x14ac:dyDescent="0.35">
      <c r="A176" s="89" t="s">
        <v>98</v>
      </c>
      <c r="B176" s="90">
        <v>0.35</v>
      </c>
      <c r="C176" s="90">
        <v>0.35</v>
      </c>
      <c r="D176" s="90">
        <v>0.36</v>
      </c>
      <c r="F176" s="60"/>
    </row>
    <row r="177" spans="1:6" ht="16" x14ac:dyDescent="0.35">
      <c r="A177" s="89" t="s">
        <v>110</v>
      </c>
      <c r="B177" s="90">
        <v>0.7</v>
      </c>
      <c r="C177" s="90">
        <v>0.7</v>
      </c>
      <c r="D177" s="90">
        <v>0.7</v>
      </c>
      <c r="F177" s="60"/>
    </row>
    <row r="178" spans="1:6" x14ac:dyDescent="0.35">
      <c r="A178" s="89" t="s">
        <v>99</v>
      </c>
      <c r="B178" s="90">
        <v>0.12</v>
      </c>
      <c r="C178" s="90">
        <v>0.12</v>
      </c>
      <c r="D178" s="90">
        <v>7.0000000000000007E-2</v>
      </c>
      <c r="F178" s="60"/>
    </row>
    <row r="179" spans="1:6" x14ac:dyDescent="0.35">
      <c r="A179" s="89" t="s">
        <v>100</v>
      </c>
      <c r="B179" s="90">
        <v>0.26</v>
      </c>
      <c r="C179" s="90">
        <v>0.11</v>
      </c>
      <c r="D179" s="90">
        <v>0.53</v>
      </c>
      <c r="F179" s="60"/>
    </row>
    <row r="180" spans="1:6" x14ac:dyDescent="0.35">
      <c r="A180" s="89" t="s">
        <v>101</v>
      </c>
      <c r="B180" s="91" t="s">
        <v>102</v>
      </c>
      <c r="C180" s="91" t="s">
        <v>102</v>
      </c>
      <c r="D180" s="90">
        <v>0.11</v>
      </c>
      <c r="F180" s="60"/>
    </row>
    <row r="181" spans="1:6" x14ac:dyDescent="0.35">
      <c r="A181" s="89" t="s">
        <v>103</v>
      </c>
      <c r="B181" s="91" t="s">
        <v>102</v>
      </c>
      <c r="C181" s="91" t="s">
        <v>102</v>
      </c>
      <c r="D181" s="90">
        <v>0.13</v>
      </c>
      <c r="F181" s="60"/>
    </row>
    <row r="182" spans="1:6" x14ac:dyDescent="0.35">
      <c r="A182" s="89" t="s">
        <v>104</v>
      </c>
      <c r="B182" s="91" t="s">
        <v>102</v>
      </c>
      <c r="C182" s="91" t="s">
        <v>102</v>
      </c>
      <c r="D182" s="90">
        <v>0.08</v>
      </c>
      <c r="F182" s="60"/>
    </row>
    <row r="183" spans="1:6" x14ac:dyDescent="0.35">
      <c r="A183" s="89" t="s">
        <v>105</v>
      </c>
      <c r="B183" s="91" t="s">
        <v>102</v>
      </c>
      <c r="C183" s="91" t="s">
        <v>102</v>
      </c>
      <c r="D183" s="90">
        <v>0.04</v>
      </c>
      <c r="F183" s="60"/>
    </row>
    <row r="184" spans="1:6" x14ac:dyDescent="0.35">
      <c r="A184" s="89" t="s">
        <v>106</v>
      </c>
      <c r="B184" s="91" t="s">
        <v>102</v>
      </c>
      <c r="C184" s="91" t="s">
        <v>102</v>
      </c>
      <c r="D184" s="90">
        <v>0.11</v>
      </c>
      <c r="F184" s="60"/>
    </row>
    <row r="185" spans="1:6" x14ac:dyDescent="0.35">
      <c r="A185" s="89" t="s">
        <v>107</v>
      </c>
      <c r="B185" s="91" t="s">
        <v>102</v>
      </c>
      <c r="C185" s="91" t="s">
        <v>102</v>
      </c>
      <c r="D185" s="90">
        <v>0.06</v>
      </c>
      <c r="F185" s="60"/>
    </row>
    <row r="186" spans="1:6" ht="16" x14ac:dyDescent="0.35">
      <c r="A186" s="89" t="s">
        <v>111</v>
      </c>
      <c r="B186" s="91" t="s">
        <v>102</v>
      </c>
      <c r="C186" s="91" t="s">
        <v>102</v>
      </c>
      <c r="D186" s="90">
        <v>0.23</v>
      </c>
      <c r="F186" s="60"/>
    </row>
    <row r="187" spans="1:6" x14ac:dyDescent="0.35">
      <c r="A187" s="92"/>
      <c r="B187" s="58"/>
      <c r="C187" s="58"/>
      <c r="D187" s="59"/>
      <c r="F187" s="60"/>
    </row>
    <row r="188" spans="1:6" ht="63.75" customHeight="1" x14ac:dyDescent="0.35">
      <c r="A188" s="293" t="s">
        <v>112</v>
      </c>
      <c r="B188" s="294"/>
      <c r="C188" s="294"/>
      <c r="D188" s="295"/>
      <c r="F188" s="60"/>
    </row>
    <row r="189" spans="1:6" x14ac:dyDescent="0.35">
      <c r="A189" s="5" t="s">
        <v>205</v>
      </c>
      <c r="F189" s="60"/>
    </row>
    <row r="190" spans="1:6" x14ac:dyDescent="0.35">
      <c r="A190" s="63" t="s">
        <v>113</v>
      </c>
      <c r="F190" s="60"/>
    </row>
    <row r="191" spans="1:6" x14ac:dyDescent="0.35">
      <c r="A191" s="279" t="s">
        <v>84</v>
      </c>
      <c r="B191" s="278" t="s">
        <v>349</v>
      </c>
      <c r="C191" s="278"/>
      <c r="D191" s="278"/>
      <c r="F191" s="60"/>
    </row>
    <row r="192" spans="1:6" x14ac:dyDescent="0.35">
      <c r="A192" s="279"/>
      <c r="B192" s="76" t="s">
        <v>85</v>
      </c>
      <c r="C192" s="76" t="s">
        <v>114</v>
      </c>
      <c r="D192" s="76" t="s">
        <v>115</v>
      </c>
      <c r="F192" s="60"/>
    </row>
    <row r="193" spans="1:6" x14ac:dyDescent="0.35">
      <c r="A193" s="89" t="s">
        <v>90</v>
      </c>
      <c r="B193" s="90">
        <v>0.24</v>
      </c>
      <c r="C193" s="90">
        <v>0.24</v>
      </c>
      <c r="D193" s="90">
        <v>0.25</v>
      </c>
      <c r="F193" s="60"/>
    </row>
    <row r="194" spans="1:6" x14ac:dyDescent="0.35">
      <c r="A194" s="89" t="s">
        <v>116</v>
      </c>
      <c r="B194" s="90">
        <v>0.14000000000000001</v>
      </c>
      <c r="C194" s="90">
        <v>0.14000000000000001</v>
      </c>
      <c r="D194" s="90">
        <v>0.35</v>
      </c>
      <c r="F194" s="60"/>
    </row>
    <row r="195" spans="1:6" x14ac:dyDescent="0.35">
      <c r="A195" s="89" t="s">
        <v>117</v>
      </c>
      <c r="B195" s="90">
        <v>0.1</v>
      </c>
      <c r="C195" s="90">
        <v>0.1</v>
      </c>
      <c r="D195" s="90">
        <v>0.1</v>
      </c>
      <c r="F195" s="60"/>
    </row>
    <row r="196" spans="1:6" x14ac:dyDescent="0.35">
      <c r="A196" s="89" t="s">
        <v>92</v>
      </c>
      <c r="B196" s="90">
        <v>0.43</v>
      </c>
      <c r="C196" s="90">
        <v>0.43</v>
      </c>
      <c r="D196" s="90">
        <v>0.44</v>
      </c>
      <c r="F196" s="60"/>
    </row>
    <row r="197" spans="1:6" x14ac:dyDescent="0.35">
      <c r="A197" s="89" t="s">
        <v>98</v>
      </c>
      <c r="B197" s="90">
        <v>0.25</v>
      </c>
      <c r="C197" s="90">
        <v>0.25</v>
      </c>
      <c r="D197" s="90">
        <v>0.7</v>
      </c>
      <c r="F197" s="60"/>
    </row>
    <row r="198" spans="1:6" x14ac:dyDescent="0.35">
      <c r="A198" s="89" t="s">
        <v>118</v>
      </c>
      <c r="B198" s="90">
        <v>0.35</v>
      </c>
      <c r="C198" s="90">
        <v>0.14000000000000001</v>
      </c>
      <c r="D198" s="90">
        <v>0.53</v>
      </c>
      <c r="F198" s="60"/>
    </row>
    <row r="199" spans="1:6" x14ac:dyDescent="0.35">
      <c r="A199" s="89" t="s">
        <v>119</v>
      </c>
      <c r="B199" s="90">
        <v>0.05</v>
      </c>
      <c r="C199" s="90">
        <v>0.05</v>
      </c>
      <c r="D199" s="90">
        <v>0.05</v>
      </c>
      <c r="F199" s="60"/>
    </row>
    <row r="200" spans="1:6" x14ac:dyDescent="0.35">
      <c r="A200" s="89" t="s">
        <v>120</v>
      </c>
      <c r="B200" s="91" t="s">
        <v>102</v>
      </c>
      <c r="C200" s="91" t="s">
        <v>102</v>
      </c>
      <c r="D200" s="90">
        <v>0.03</v>
      </c>
      <c r="F200" s="60"/>
    </row>
    <row r="201" spans="1:6" x14ac:dyDescent="0.35">
      <c r="A201" s="89" t="s">
        <v>93</v>
      </c>
      <c r="B201" s="91" t="s">
        <v>102</v>
      </c>
      <c r="C201" s="91" t="s">
        <v>102</v>
      </c>
      <c r="D201" s="90">
        <v>0.21</v>
      </c>
      <c r="F201" s="60"/>
    </row>
    <row r="202" spans="1:6" x14ac:dyDescent="0.35">
      <c r="A202" s="5" t="s">
        <v>205</v>
      </c>
      <c r="F202" s="60"/>
    </row>
    <row r="203" spans="1:6" x14ac:dyDescent="0.35">
      <c r="A203" s="63" t="s">
        <v>121</v>
      </c>
      <c r="F203" s="60"/>
    </row>
    <row r="204" spans="1:6" ht="44.5" x14ac:dyDescent="0.35">
      <c r="A204" s="75" t="s">
        <v>122</v>
      </c>
      <c r="B204" s="93" t="s">
        <v>350</v>
      </c>
      <c r="C204" s="93" t="s">
        <v>351</v>
      </c>
      <c r="F204" s="60"/>
    </row>
    <row r="205" spans="1:6" ht="16.5" x14ac:dyDescent="0.35">
      <c r="A205" s="89" t="s">
        <v>127</v>
      </c>
      <c r="B205" s="90">
        <v>0.35</v>
      </c>
      <c r="C205" s="90">
        <v>0.42</v>
      </c>
      <c r="F205" s="60"/>
    </row>
    <row r="206" spans="1:6" ht="16.5" x14ac:dyDescent="0.35">
      <c r="A206" s="89" t="s">
        <v>128</v>
      </c>
      <c r="B206" s="90">
        <v>0.7</v>
      </c>
      <c r="C206" s="90">
        <v>0.84</v>
      </c>
      <c r="F206" s="60"/>
    </row>
    <row r="207" spans="1:6" ht="16.5" x14ac:dyDescent="0.35">
      <c r="A207" s="89" t="s">
        <v>129</v>
      </c>
      <c r="B207" s="90">
        <v>1.76</v>
      </c>
      <c r="C207" s="90">
        <v>1.69</v>
      </c>
      <c r="F207" s="60"/>
    </row>
    <row r="208" spans="1:6" x14ac:dyDescent="0.35">
      <c r="A208" s="89" t="s">
        <v>123</v>
      </c>
      <c r="B208" s="90">
        <v>2.11</v>
      </c>
      <c r="C208" s="90">
        <v>2.11</v>
      </c>
      <c r="F208" s="60"/>
    </row>
    <row r="209" spans="1:6" x14ac:dyDescent="0.35">
      <c r="A209" s="89" t="s">
        <v>124</v>
      </c>
      <c r="B209" s="90">
        <v>3.52</v>
      </c>
      <c r="C209" s="90">
        <v>3.8</v>
      </c>
      <c r="F209" s="60"/>
    </row>
    <row r="210" spans="1:6" x14ac:dyDescent="0.35">
      <c r="A210" s="89" t="s">
        <v>125</v>
      </c>
      <c r="B210" s="90">
        <v>3.87</v>
      </c>
      <c r="C210" s="90">
        <v>4.22</v>
      </c>
      <c r="F210" s="60"/>
    </row>
    <row r="211" spans="1:6" x14ac:dyDescent="0.35">
      <c r="A211" s="89" t="s">
        <v>126</v>
      </c>
      <c r="B211" s="90">
        <v>5.63</v>
      </c>
      <c r="C211" s="90">
        <v>4.22</v>
      </c>
      <c r="F211" s="60"/>
    </row>
    <row r="212" spans="1:6" ht="16.5" x14ac:dyDescent="0.35">
      <c r="A212" s="89" t="s">
        <v>130</v>
      </c>
      <c r="B212" s="90">
        <v>3.87</v>
      </c>
      <c r="C212" s="90">
        <v>4.22</v>
      </c>
      <c r="F212" s="60"/>
    </row>
    <row r="213" spans="1:6" x14ac:dyDescent="0.35">
      <c r="A213" s="92"/>
      <c r="B213" s="58"/>
      <c r="C213" s="59"/>
      <c r="F213" s="60"/>
    </row>
    <row r="214" spans="1:6" ht="48.75" customHeight="1" x14ac:dyDescent="0.35">
      <c r="A214" s="275" t="s">
        <v>131</v>
      </c>
      <c r="B214" s="276"/>
      <c r="C214" s="277"/>
      <c r="F214" s="60"/>
    </row>
    <row r="215" spans="1:6" ht="96.75" customHeight="1" x14ac:dyDescent="0.35">
      <c r="A215" s="275" t="s">
        <v>132</v>
      </c>
      <c r="B215" s="276"/>
      <c r="C215" s="277"/>
      <c r="F215" s="60"/>
    </row>
    <row r="216" spans="1:6" ht="66.75" customHeight="1" x14ac:dyDescent="0.35">
      <c r="A216" s="293" t="s">
        <v>158</v>
      </c>
      <c r="B216" s="294"/>
      <c r="C216" s="295"/>
      <c r="F216" s="60"/>
    </row>
    <row r="217" spans="1:6" x14ac:dyDescent="0.35">
      <c r="A217" s="5" t="s">
        <v>205</v>
      </c>
      <c r="F217" s="60"/>
    </row>
    <row r="218" spans="1:6" x14ac:dyDescent="0.35">
      <c r="A218" s="63" t="s">
        <v>133</v>
      </c>
      <c r="F218" s="60"/>
    </row>
    <row r="219" spans="1:6" ht="30.5" x14ac:dyDescent="0.35">
      <c r="A219" s="75" t="s">
        <v>135</v>
      </c>
      <c r="B219" s="93" t="s">
        <v>206</v>
      </c>
      <c r="C219" s="93" t="s">
        <v>352</v>
      </c>
      <c r="F219" s="60"/>
    </row>
    <row r="220" spans="1:6" ht="16.5" x14ac:dyDescent="0.35">
      <c r="A220" s="89" t="s">
        <v>136</v>
      </c>
      <c r="B220" s="91" t="s">
        <v>138</v>
      </c>
      <c r="C220" s="90">
        <v>8.06</v>
      </c>
      <c r="D220" s="64" t="s">
        <v>386</v>
      </c>
      <c r="F220" s="60"/>
    </row>
    <row r="221" spans="1:6" ht="16.5" x14ac:dyDescent="0.35">
      <c r="A221" s="89" t="s">
        <v>137</v>
      </c>
      <c r="B221" s="91" t="s">
        <v>139</v>
      </c>
      <c r="C221" s="90">
        <v>7.18</v>
      </c>
      <c r="D221" s="64" t="s">
        <v>386</v>
      </c>
      <c r="F221" s="60"/>
    </row>
    <row r="222" spans="1:6" x14ac:dyDescent="0.35">
      <c r="A222" s="92"/>
      <c r="B222" s="58"/>
      <c r="C222" s="59"/>
      <c r="F222" s="60"/>
    </row>
    <row r="223" spans="1:6" ht="50.25" customHeight="1" x14ac:dyDescent="0.35">
      <c r="A223" s="275" t="s">
        <v>140</v>
      </c>
      <c r="B223" s="276"/>
      <c r="C223" s="277"/>
      <c r="F223" s="60"/>
    </row>
    <row r="224" spans="1:6" ht="51" customHeight="1" x14ac:dyDescent="0.35">
      <c r="A224" s="275" t="s">
        <v>141</v>
      </c>
      <c r="B224" s="276"/>
      <c r="C224" s="277"/>
      <c r="F224" s="60"/>
    </row>
    <row r="225" spans="1:6" ht="49.5" customHeight="1" x14ac:dyDescent="0.35">
      <c r="A225" s="275" t="s">
        <v>142</v>
      </c>
      <c r="B225" s="276"/>
      <c r="C225" s="277"/>
      <c r="F225" s="60"/>
    </row>
    <row r="226" spans="1:6" ht="80.25" customHeight="1" x14ac:dyDescent="0.35">
      <c r="A226" s="293" t="s">
        <v>143</v>
      </c>
      <c r="B226" s="294"/>
      <c r="C226" s="295"/>
      <c r="F226" s="60"/>
    </row>
    <row r="227" spans="1:6" x14ac:dyDescent="0.35">
      <c r="A227" s="5" t="s">
        <v>205</v>
      </c>
      <c r="F227" s="60"/>
    </row>
    <row r="228" spans="1:6" x14ac:dyDescent="0.35">
      <c r="A228" s="63" t="s">
        <v>134</v>
      </c>
      <c r="F228" s="60"/>
    </row>
    <row r="229" spans="1:6" ht="15.75" customHeight="1" x14ac:dyDescent="0.35">
      <c r="A229" s="279" t="s">
        <v>144</v>
      </c>
      <c r="B229" s="290" t="s">
        <v>353</v>
      </c>
      <c r="C229" s="291"/>
      <c r="D229" s="291"/>
      <c r="E229" s="291"/>
      <c r="F229" s="292"/>
    </row>
    <row r="230" spans="1:6" ht="47" x14ac:dyDescent="0.35">
      <c r="A230" s="279"/>
      <c r="B230" s="76" t="s">
        <v>145</v>
      </c>
      <c r="C230" s="76" t="s">
        <v>146</v>
      </c>
      <c r="D230" s="76" t="s">
        <v>147</v>
      </c>
      <c r="E230" s="76" t="s">
        <v>288</v>
      </c>
      <c r="F230" s="76" t="s">
        <v>289</v>
      </c>
    </row>
    <row r="231" spans="1:6" x14ac:dyDescent="0.35">
      <c r="A231" s="89" t="s">
        <v>148</v>
      </c>
      <c r="B231" s="94">
        <v>0.14299999999999999</v>
      </c>
      <c r="C231" s="95">
        <v>2E-3</v>
      </c>
      <c r="D231" s="94">
        <v>1.7999999999999999E-2</v>
      </c>
      <c r="E231" s="94" t="s">
        <v>102</v>
      </c>
      <c r="F231" s="94">
        <v>0.11</v>
      </c>
    </row>
    <row r="232" spans="1:6" x14ac:dyDescent="0.35">
      <c r="A232" s="89" t="s">
        <v>149</v>
      </c>
      <c r="B232" s="94">
        <v>0.03</v>
      </c>
      <c r="C232" s="95">
        <v>2.0000000000000001E-4</v>
      </c>
      <c r="D232" s="94">
        <v>0.10199999999999999</v>
      </c>
      <c r="E232" s="94" t="s">
        <v>102</v>
      </c>
      <c r="F232" s="94">
        <v>0.113</v>
      </c>
    </row>
    <row r="233" spans="1:6" x14ac:dyDescent="0.35">
      <c r="A233" s="89" t="s">
        <v>150</v>
      </c>
      <c r="B233" s="94">
        <v>0.12</v>
      </c>
      <c r="C233" s="95">
        <v>1.1000000000000001E-3</v>
      </c>
      <c r="D233" s="94">
        <v>4.2000000000000003E-2</v>
      </c>
      <c r="E233" s="94">
        <v>1.2999999999999999E-2</v>
      </c>
      <c r="F233" s="94">
        <v>0.111</v>
      </c>
    </row>
    <row r="234" spans="1:6" x14ac:dyDescent="0.35">
      <c r="A234" s="89" t="s">
        <v>151</v>
      </c>
      <c r="B234" s="94">
        <v>0.35799999999999998</v>
      </c>
      <c r="C234" s="95">
        <v>4.53E-2</v>
      </c>
      <c r="D234" s="94">
        <v>1.7000000000000001E-2</v>
      </c>
      <c r="E234" s="94" t="s">
        <v>102</v>
      </c>
      <c r="F234" s="94">
        <v>0.314</v>
      </c>
    </row>
    <row r="235" spans="1:6" x14ac:dyDescent="0.35">
      <c r="A235" s="89" t="s">
        <v>152</v>
      </c>
      <c r="B235" s="94">
        <v>7.8E-2</v>
      </c>
      <c r="C235" s="95">
        <v>3.8E-3</v>
      </c>
      <c r="D235" s="94">
        <v>2.9000000000000001E-2</v>
      </c>
      <c r="E235" s="94" t="s">
        <v>102</v>
      </c>
      <c r="F235" s="94">
        <v>0.31</v>
      </c>
    </row>
    <row r="236" spans="1:6" x14ac:dyDescent="0.35">
      <c r="A236" s="89" t="s">
        <v>153</v>
      </c>
      <c r="B236" s="94">
        <v>0.245</v>
      </c>
      <c r="C236" s="95">
        <v>2.2800000000000001E-2</v>
      </c>
      <c r="D236" s="94">
        <v>2.1999999999999999E-2</v>
      </c>
      <c r="E236" s="94">
        <v>3.6999999999999998E-2</v>
      </c>
      <c r="F236" s="94">
        <v>0.312</v>
      </c>
    </row>
    <row r="237" spans="1:6" x14ac:dyDescent="0.35">
      <c r="A237" s="89" t="s">
        <v>154</v>
      </c>
      <c r="B237" s="94">
        <v>0.159</v>
      </c>
      <c r="C237" s="95">
        <v>5.3E-3</v>
      </c>
      <c r="D237" s="94">
        <v>1.7999999999999999E-2</v>
      </c>
      <c r="E237" s="94" t="s">
        <v>102</v>
      </c>
      <c r="F237" s="94">
        <v>0.128</v>
      </c>
    </row>
    <row r="238" spans="1:6" x14ac:dyDescent="0.35">
      <c r="A238" s="89" t="s">
        <v>155</v>
      </c>
      <c r="B238" s="94">
        <v>3.6999999999999998E-2</v>
      </c>
      <c r="C238" s="95">
        <v>6.9999999999999999E-4</v>
      </c>
      <c r="D238" s="94">
        <v>9.0999999999999998E-2</v>
      </c>
      <c r="E238" s="94" t="s">
        <v>102</v>
      </c>
      <c r="F238" s="94">
        <v>0.14499999999999999</v>
      </c>
    </row>
    <row r="239" spans="1:6" x14ac:dyDescent="0.35">
      <c r="A239" s="89" t="s">
        <v>156</v>
      </c>
      <c r="B239" s="94">
        <v>0.13300000000000001</v>
      </c>
      <c r="C239" s="95">
        <v>3.2000000000000002E-3</v>
      </c>
      <c r="D239" s="94">
        <v>0.04</v>
      </c>
      <c r="E239" s="94">
        <v>1.4999999999999999E-2</v>
      </c>
      <c r="F239" s="94">
        <v>0.13300000000000001</v>
      </c>
    </row>
    <row r="240" spans="1:6" x14ac:dyDescent="0.35">
      <c r="A240" s="92"/>
      <c r="B240" s="58"/>
      <c r="C240" s="58"/>
      <c r="D240" s="59"/>
      <c r="F240" s="60"/>
    </row>
    <row r="241" spans="1:6" ht="32.15" customHeight="1" x14ac:dyDescent="0.35">
      <c r="A241" s="275" t="s">
        <v>354</v>
      </c>
      <c r="B241" s="276"/>
      <c r="C241" s="276"/>
      <c r="D241" s="276"/>
      <c r="E241" s="276"/>
      <c r="F241" s="277"/>
    </row>
    <row r="242" spans="1:6" ht="32.5" customHeight="1" x14ac:dyDescent="0.35">
      <c r="A242" s="283" t="s">
        <v>290</v>
      </c>
      <c r="B242" s="283"/>
      <c r="C242" s="283"/>
      <c r="D242" s="283"/>
      <c r="E242" s="283"/>
      <c r="F242" s="284"/>
    </row>
  </sheetData>
  <mergeCells count="35">
    <mergeCell ref="A20:B20"/>
    <mergeCell ref="A21:B21"/>
    <mergeCell ref="A36:B36"/>
    <mergeCell ref="A37:B37"/>
    <mergeCell ref="A160:B160"/>
    <mergeCell ref="A38:B38"/>
    <mergeCell ref="A39:B39"/>
    <mergeCell ref="A40:B40"/>
    <mergeCell ref="A49:B49"/>
    <mergeCell ref="A56:B56"/>
    <mergeCell ref="A57:B57"/>
    <mergeCell ref="A111:E111"/>
    <mergeCell ref="A112:E112"/>
    <mergeCell ref="A242:F242"/>
    <mergeCell ref="B60:D60"/>
    <mergeCell ref="A74:D74"/>
    <mergeCell ref="A75:D75"/>
    <mergeCell ref="B229:F229"/>
    <mergeCell ref="A241:F241"/>
    <mergeCell ref="A226:C226"/>
    <mergeCell ref="A229:A230"/>
    <mergeCell ref="A214:C214"/>
    <mergeCell ref="A215:C215"/>
    <mergeCell ref="A216:C216"/>
    <mergeCell ref="A223:C223"/>
    <mergeCell ref="A224:C224"/>
    <mergeCell ref="A188:D188"/>
    <mergeCell ref="A191:A192"/>
    <mergeCell ref="B191:D191"/>
    <mergeCell ref="A225:C225"/>
    <mergeCell ref="B163:D163"/>
    <mergeCell ref="A163:A164"/>
    <mergeCell ref="A148:B148"/>
    <mergeCell ref="A149:B149"/>
    <mergeCell ref="A159:B159"/>
  </mergeCells>
  <hyperlinks>
    <hyperlink ref="A3" r:id="rId1" display="Tables A-1 through A-4 come from USDOT BCA Guidance (March 2022, Revised)" xr:uid="{68918682-7B21-4C2E-A89E-E2125912E2A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4DA1-448F-48FC-ABD2-78FD7CC3CEE4}">
  <sheetPr>
    <tabColor rgb="FF0000FF"/>
  </sheetPr>
  <dimension ref="B2:AO46"/>
  <sheetViews>
    <sheetView showGridLines="0" zoomScale="90" zoomScaleNormal="90" workbookViewId="0"/>
  </sheetViews>
  <sheetFormatPr defaultRowHeight="14.5" outlineLevelCol="1" x14ac:dyDescent="0.35"/>
  <cols>
    <col min="1" max="1" width="2.54296875" customWidth="1"/>
    <col min="2" max="2" width="70.36328125" bestFit="1" customWidth="1"/>
    <col min="3" max="22" width="15.54296875" hidden="1" customWidth="1" outlineLevel="1"/>
    <col min="23" max="23" width="2.7265625" customWidth="1" collapsed="1"/>
    <col min="24" max="24" width="24" customWidth="1"/>
    <col min="25" max="25" width="26" customWidth="1"/>
    <col min="26" max="26" width="2.7265625" customWidth="1"/>
  </cols>
  <sheetData>
    <row r="2" spans="2:41" x14ac:dyDescent="0.35">
      <c r="B2" s="192" t="s">
        <v>383</v>
      </c>
      <c r="X2" s="178" t="s">
        <v>192</v>
      </c>
      <c r="Y2" s="238" t="s">
        <v>193</v>
      </c>
      <c r="AA2" s="192" t="s">
        <v>485</v>
      </c>
      <c r="AB2" s="192"/>
      <c r="AC2" s="192"/>
      <c r="AD2" s="192"/>
      <c r="AE2" s="192"/>
      <c r="AF2" s="192"/>
      <c r="AG2" s="192"/>
      <c r="AH2" s="192"/>
      <c r="AI2" s="192"/>
      <c r="AJ2" s="192"/>
      <c r="AK2" s="192"/>
      <c r="AL2" s="192"/>
      <c r="AM2" s="192"/>
      <c r="AN2" s="192"/>
      <c r="AO2" s="192"/>
    </row>
    <row r="3" spans="2:41" x14ac:dyDescent="0.35">
      <c r="B3" t="s">
        <v>486</v>
      </c>
      <c r="X3" s="236" t="s">
        <v>377</v>
      </c>
      <c r="Y3" s="191">
        <v>0</v>
      </c>
      <c r="AA3" t="s">
        <v>440</v>
      </c>
    </row>
    <row r="4" spans="2:41" x14ac:dyDescent="0.35">
      <c r="B4" t="s">
        <v>487</v>
      </c>
      <c r="X4" s="236" t="s">
        <v>377</v>
      </c>
      <c r="Y4" s="191">
        <v>0.1</v>
      </c>
      <c r="AA4" t="s">
        <v>441</v>
      </c>
    </row>
    <row r="5" spans="2:41" x14ac:dyDescent="0.35">
      <c r="B5" t="s">
        <v>488</v>
      </c>
      <c r="X5" s="236" t="s">
        <v>377</v>
      </c>
      <c r="Y5" s="191">
        <v>0.1</v>
      </c>
      <c r="AA5" t="s">
        <v>442</v>
      </c>
    </row>
    <row r="6" spans="2:41" x14ac:dyDescent="0.35">
      <c r="B6" t="s">
        <v>448</v>
      </c>
      <c r="X6" s="236">
        <v>0.04</v>
      </c>
      <c r="Y6" s="191">
        <v>0.04</v>
      </c>
      <c r="AA6" t="s">
        <v>443</v>
      </c>
    </row>
    <row r="7" spans="2:41" x14ac:dyDescent="0.35">
      <c r="B7" t="s">
        <v>449</v>
      </c>
      <c r="X7" s="236">
        <v>0.04</v>
      </c>
      <c r="Y7" s="191">
        <v>0.04</v>
      </c>
      <c r="AA7" t="s">
        <v>443</v>
      </c>
    </row>
    <row r="8" spans="2:41" x14ac:dyDescent="0.35">
      <c r="B8" t="s">
        <v>450</v>
      </c>
      <c r="X8" s="236">
        <v>0.04</v>
      </c>
      <c r="Y8" s="191">
        <v>0.04</v>
      </c>
      <c r="AA8" t="s">
        <v>443</v>
      </c>
    </row>
    <row r="10" spans="2:41" x14ac:dyDescent="0.35">
      <c r="C10" s="240" t="s">
        <v>362</v>
      </c>
      <c r="D10" s="241"/>
      <c r="E10" s="240" t="s">
        <v>363</v>
      </c>
      <c r="F10" s="241"/>
      <c r="G10" s="240" t="s">
        <v>364</v>
      </c>
      <c r="H10" s="241"/>
      <c r="I10" s="240" t="s">
        <v>365</v>
      </c>
      <c r="J10" s="241"/>
      <c r="K10" s="240" t="s">
        <v>366</v>
      </c>
      <c r="L10" s="241"/>
      <c r="M10" s="240" t="s">
        <v>367</v>
      </c>
      <c r="N10" s="241"/>
      <c r="O10" s="240" t="s">
        <v>368</v>
      </c>
      <c r="P10" s="241"/>
      <c r="Q10" s="240" t="s">
        <v>369</v>
      </c>
      <c r="R10" s="241"/>
      <c r="S10" s="240" t="s">
        <v>370</v>
      </c>
      <c r="T10" s="241"/>
      <c r="U10" s="240" t="s">
        <v>371</v>
      </c>
      <c r="V10" s="241"/>
    </row>
    <row r="11" spans="2:41" x14ac:dyDescent="0.35">
      <c r="B11" s="192" t="s">
        <v>384</v>
      </c>
      <c r="C11" s="177" t="s">
        <v>192</v>
      </c>
      <c r="D11" s="239" t="s">
        <v>193</v>
      </c>
      <c r="E11" s="177" t="s">
        <v>192</v>
      </c>
      <c r="F11" s="239" t="s">
        <v>193</v>
      </c>
      <c r="G11" s="177" t="s">
        <v>192</v>
      </c>
      <c r="H11" s="239" t="s">
        <v>193</v>
      </c>
      <c r="I11" s="177" t="s">
        <v>192</v>
      </c>
      <c r="J11" s="239" t="s">
        <v>193</v>
      </c>
      <c r="K11" s="177" t="s">
        <v>192</v>
      </c>
      <c r="L11" s="239" t="s">
        <v>193</v>
      </c>
      <c r="M11" s="177" t="s">
        <v>192</v>
      </c>
      <c r="N11" s="239" t="s">
        <v>193</v>
      </c>
      <c r="O11" s="177" t="s">
        <v>192</v>
      </c>
      <c r="P11" s="239" t="s">
        <v>193</v>
      </c>
      <c r="Q11" s="177" t="s">
        <v>192</v>
      </c>
      <c r="R11" s="239" t="s">
        <v>193</v>
      </c>
      <c r="S11" s="177" t="s">
        <v>192</v>
      </c>
      <c r="T11" s="239" t="s">
        <v>193</v>
      </c>
      <c r="U11" s="177" t="s">
        <v>192</v>
      </c>
      <c r="V11" s="239" t="s">
        <v>193</v>
      </c>
      <c r="W11" s="190"/>
      <c r="X11" s="178" t="s">
        <v>192</v>
      </c>
      <c r="Y11" s="238" t="s">
        <v>193</v>
      </c>
    </row>
    <row r="12" spans="2:41" x14ac:dyDescent="0.35">
      <c r="B12" s="179" t="s">
        <v>372</v>
      </c>
      <c r="C12" s="195"/>
      <c r="D12" s="196"/>
      <c r="E12" s="197"/>
      <c r="F12" s="196"/>
      <c r="G12" s="197"/>
      <c r="H12" s="196"/>
      <c r="I12" s="197"/>
      <c r="J12" s="196"/>
      <c r="K12" s="197"/>
      <c r="L12" s="196"/>
      <c r="M12" s="197"/>
      <c r="N12" s="196"/>
      <c r="O12" s="197"/>
      <c r="P12" s="196"/>
      <c r="Q12" s="197"/>
      <c r="R12" s="196"/>
      <c r="S12" s="197"/>
      <c r="T12" s="196"/>
      <c r="U12" s="197"/>
      <c r="V12" s="196"/>
      <c r="X12" s="180"/>
    </row>
    <row r="13" spans="2:41" x14ac:dyDescent="0.35">
      <c r="B13" s="181" t="s">
        <v>373</v>
      </c>
      <c r="C13" s="198" t="s">
        <v>377</v>
      </c>
      <c r="D13" s="199">
        <v>2029</v>
      </c>
      <c r="E13" s="198" t="s">
        <v>377</v>
      </c>
      <c r="F13" s="199">
        <v>2029</v>
      </c>
      <c r="G13" s="198" t="s">
        <v>377</v>
      </c>
      <c r="H13" s="199">
        <v>2029</v>
      </c>
      <c r="I13" s="198" t="s">
        <v>377</v>
      </c>
      <c r="J13" s="199">
        <v>2029</v>
      </c>
      <c r="K13" s="198" t="s">
        <v>377</v>
      </c>
      <c r="L13" s="199">
        <v>2029</v>
      </c>
      <c r="M13" s="198" t="s">
        <v>377</v>
      </c>
      <c r="N13" s="199">
        <v>2029</v>
      </c>
      <c r="O13" s="198" t="s">
        <v>377</v>
      </c>
      <c r="P13" s="199">
        <v>2029</v>
      </c>
      <c r="Q13" s="198" t="s">
        <v>377</v>
      </c>
      <c r="R13" s="199">
        <v>2029</v>
      </c>
      <c r="S13" s="198" t="s">
        <v>377</v>
      </c>
      <c r="T13" s="199">
        <v>2029</v>
      </c>
      <c r="U13" s="198" t="s">
        <v>377</v>
      </c>
      <c r="V13" s="199">
        <v>2029</v>
      </c>
      <c r="X13" s="199" t="s">
        <v>377</v>
      </c>
      <c r="Y13" s="198">
        <v>2029</v>
      </c>
      <c r="AA13" t="s">
        <v>439</v>
      </c>
    </row>
    <row r="14" spans="2:41" x14ac:dyDescent="0.35">
      <c r="B14" s="181" t="s">
        <v>374</v>
      </c>
      <c r="C14" s="198" t="s">
        <v>377</v>
      </c>
      <c r="D14" s="199">
        <v>2032</v>
      </c>
      <c r="E14" s="198" t="s">
        <v>377</v>
      </c>
      <c r="F14" s="199">
        <v>2032</v>
      </c>
      <c r="G14" s="198" t="s">
        <v>377</v>
      </c>
      <c r="H14" s="199">
        <v>2032</v>
      </c>
      <c r="I14" s="198" t="s">
        <v>377</v>
      </c>
      <c r="J14" s="199">
        <v>2032</v>
      </c>
      <c r="K14" s="198" t="s">
        <v>377</v>
      </c>
      <c r="L14" s="199">
        <v>2032</v>
      </c>
      <c r="M14" s="198" t="s">
        <v>377</v>
      </c>
      <c r="N14" s="199">
        <v>2032</v>
      </c>
      <c r="O14" s="198" t="s">
        <v>377</v>
      </c>
      <c r="P14" s="199">
        <v>2032</v>
      </c>
      <c r="Q14" s="198" t="s">
        <v>377</v>
      </c>
      <c r="R14" s="199">
        <v>2032</v>
      </c>
      <c r="S14" s="198" t="s">
        <v>377</v>
      </c>
      <c r="T14" s="199">
        <v>2032</v>
      </c>
      <c r="U14" s="198" t="s">
        <v>377</v>
      </c>
      <c r="V14" s="199">
        <v>2032</v>
      </c>
      <c r="X14" s="199" t="s">
        <v>377</v>
      </c>
      <c r="Y14" s="198">
        <f>Y13+3</f>
        <v>2032</v>
      </c>
      <c r="AA14" t="s">
        <v>438</v>
      </c>
    </row>
    <row r="15" spans="2:41" x14ac:dyDescent="0.35">
      <c r="B15" s="181" t="s">
        <v>404</v>
      </c>
      <c r="C15" s="219">
        <v>0.34564393939393939</v>
      </c>
      <c r="D15" s="220">
        <v>0.34564393939393939</v>
      </c>
      <c r="E15" s="221">
        <v>0.29640151515151514</v>
      </c>
      <c r="F15" s="220">
        <v>0.29640151515151514</v>
      </c>
      <c r="G15" s="221">
        <v>0.4308712121212121</v>
      </c>
      <c r="H15" s="220">
        <v>0.4308712121212121</v>
      </c>
      <c r="I15" s="221">
        <v>0.23484848484848486</v>
      </c>
      <c r="J15" s="220">
        <v>0.23484848484848486</v>
      </c>
      <c r="K15" s="221">
        <v>9.1856060606060608E-2</v>
      </c>
      <c r="L15" s="220">
        <v>9.1856060606060608E-2</v>
      </c>
      <c r="M15" s="221">
        <v>0.24242424242424243</v>
      </c>
      <c r="N15" s="220">
        <v>0.24242424242424243</v>
      </c>
      <c r="O15" s="221">
        <v>0.21117424242424243</v>
      </c>
      <c r="P15" s="220">
        <v>0.21117424242424243</v>
      </c>
      <c r="Q15" s="221">
        <v>0.22253787878787878</v>
      </c>
      <c r="R15" s="220">
        <v>0.22253787878787878</v>
      </c>
      <c r="S15" s="221">
        <v>1.1013257575757576</v>
      </c>
      <c r="T15" s="220">
        <v>1.1013257575757576</v>
      </c>
      <c r="U15" s="221">
        <v>0</v>
      </c>
      <c r="V15" s="220">
        <v>0</v>
      </c>
      <c r="X15" s="217">
        <f>SUM(C15,E15,G15,I15,K15,M15,O15,Q15,S15,U15)</f>
        <v>3.177083333333333</v>
      </c>
      <c r="Y15" s="218">
        <f>SUM(D15,F15,H15,J15,L15,N15,P15,R15,T15,V15)</f>
        <v>3.177083333333333</v>
      </c>
      <c r="AA15" t="s">
        <v>431</v>
      </c>
    </row>
    <row r="16" spans="2:41" x14ac:dyDescent="0.35">
      <c r="B16" s="181" t="s">
        <v>403</v>
      </c>
      <c r="C16" s="219">
        <v>40</v>
      </c>
      <c r="D16" s="220">
        <v>28.44</v>
      </c>
      <c r="E16" s="221">
        <v>59</v>
      </c>
      <c r="F16" s="220">
        <v>49.747603833865817</v>
      </c>
      <c r="G16" s="221">
        <v>60</v>
      </c>
      <c r="H16" s="220">
        <v>59.022417582417589</v>
      </c>
      <c r="I16" s="221">
        <v>50</v>
      </c>
      <c r="J16" s="220">
        <v>52.75</v>
      </c>
      <c r="K16" s="221">
        <v>35</v>
      </c>
      <c r="L16" s="220">
        <v>35.105154639175261</v>
      </c>
      <c r="M16" s="221">
        <v>25</v>
      </c>
      <c r="N16" s="220">
        <v>15.707812499999999</v>
      </c>
      <c r="O16" s="221">
        <v>35</v>
      </c>
      <c r="P16" s="220">
        <v>0</v>
      </c>
      <c r="Q16" s="221">
        <v>33</v>
      </c>
      <c r="R16" s="220">
        <v>11.702127659574469</v>
      </c>
      <c r="S16" s="221">
        <v>60</v>
      </c>
      <c r="T16" s="221">
        <v>60</v>
      </c>
      <c r="U16" s="221">
        <v>0</v>
      </c>
      <c r="V16" s="220">
        <v>0</v>
      </c>
      <c r="X16" s="217">
        <f>X17/(X15*5280)</f>
        <v>51.705156482861398</v>
      </c>
      <c r="Y16" s="218">
        <f>Y17/(Y15*5280)</f>
        <v>43.470998509687035</v>
      </c>
      <c r="AA16" t="s">
        <v>421</v>
      </c>
    </row>
    <row r="17" spans="2:27" x14ac:dyDescent="0.35">
      <c r="B17" s="181" t="s">
        <v>405</v>
      </c>
      <c r="C17" s="201">
        <v>80462</v>
      </c>
      <c r="D17" s="202">
        <v>51903</v>
      </c>
      <c r="E17" s="203">
        <v>92335</v>
      </c>
      <c r="F17" s="202">
        <v>77855</v>
      </c>
      <c r="G17" s="203">
        <v>136500</v>
      </c>
      <c r="H17" s="202">
        <v>134276</v>
      </c>
      <c r="I17" s="203">
        <v>78288</v>
      </c>
      <c r="J17" s="202">
        <v>65410</v>
      </c>
      <c r="K17" s="203">
        <v>21069</v>
      </c>
      <c r="L17" s="202">
        <v>17026</v>
      </c>
      <c r="M17" s="203">
        <v>32000</v>
      </c>
      <c r="N17" s="202">
        <v>20106</v>
      </c>
      <c r="O17" s="203">
        <v>39025</v>
      </c>
      <c r="P17" s="202">
        <v>0</v>
      </c>
      <c r="Q17" s="203">
        <v>38775</v>
      </c>
      <c r="R17" s="202">
        <v>13750</v>
      </c>
      <c r="S17" s="203">
        <v>348900</v>
      </c>
      <c r="T17" s="203">
        <v>348900</v>
      </c>
      <c r="U17" s="203">
        <v>0</v>
      </c>
      <c r="V17" s="202">
        <v>0</v>
      </c>
      <c r="X17" s="184">
        <f t="shared" ref="X17:Y20" si="0">SUM(C17,E17,G17,I17,K17,M17,O17,Q17,S17,U17)</f>
        <v>867354</v>
      </c>
      <c r="Y17" s="185">
        <f t="shared" si="0"/>
        <v>729226</v>
      </c>
      <c r="AA17" t="s">
        <v>420</v>
      </c>
    </row>
    <row r="18" spans="2:27" x14ac:dyDescent="0.35">
      <c r="B18" s="181" t="s">
        <v>422</v>
      </c>
      <c r="C18" s="225">
        <v>0.25653409090909091</v>
      </c>
      <c r="D18" s="230">
        <v>1.268939393939394E-2</v>
      </c>
      <c r="E18" s="231">
        <v>0.42462121212121212</v>
      </c>
      <c r="F18" s="230">
        <v>0.24140151515151514</v>
      </c>
      <c r="G18" s="231">
        <v>0.68219696969696975</v>
      </c>
      <c r="H18" s="230">
        <v>2.5939393939393938</v>
      </c>
      <c r="I18" s="231">
        <v>0.27452651515151516</v>
      </c>
      <c r="J18" s="230">
        <v>4.276515151515152E-2</v>
      </c>
      <c r="K18" s="231">
        <v>3.8257575757575754E-2</v>
      </c>
      <c r="L18" s="230">
        <v>4.1325757575757571E-2</v>
      </c>
      <c r="M18" s="231">
        <v>0</v>
      </c>
      <c r="N18" s="230">
        <v>0</v>
      </c>
      <c r="O18" s="231">
        <v>0.20075757575757575</v>
      </c>
      <c r="P18" s="230">
        <v>0</v>
      </c>
      <c r="Q18" s="231">
        <v>3.125E-2</v>
      </c>
      <c r="R18" s="230">
        <v>0</v>
      </c>
      <c r="S18" s="231">
        <v>0.734375</v>
      </c>
      <c r="T18" s="230">
        <v>2.1969696969696968</v>
      </c>
      <c r="U18" s="231">
        <v>0</v>
      </c>
      <c r="V18" s="230">
        <v>0</v>
      </c>
      <c r="W18" s="186"/>
      <c r="X18" s="217">
        <f>SUM(C18,E18,G18,I18,K18,M18,O18,Q18,S18,U18)</f>
        <v>2.6425189393939394</v>
      </c>
      <c r="Y18" s="218">
        <f>SUM(D18,F18,H18,J18,L18,N18,P18,R18,T18,V18)</f>
        <v>5.1290909090909089</v>
      </c>
      <c r="AA18" t="s">
        <v>432</v>
      </c>
    </row>
    <row r="19" spans="2:27" x14ac:dyDescent="0.35">
      <c r="B19" s="181" t="s">
        <v>375</v>
      </c>
      <c r="C19" s="219">
        <v>4.5</v>
      </c>
      <c r="D19" s="220">
        <v>5</v>
      </c>
      <c r="E19" s="221">
        <v>5.5</v>
      </c>
      <c r="F19" s="220">
        <v>5</v>
      </c>
      <c r="G19" s="221">
        <v>10</v>
      </c>
      <c r="H19" s="220">
        <v>5</v>
      </c>
      <c r="I19" s="221">
        <v>5</v>
      </c>
      <c r="J19" s="220">
        <v>5</v>
      </c>
      <c r="K19" s="221">
        <v>3.5</v>
      </c>
      <c r="L19" s="220">
        <v>5</v>
      </c>
      <c r="M19" s="221">
        <v>0</v>
      </c>
      <c r="N19" s="220">
        <v>0</v>
      </c>
      <c r="O19" s="221">
        <v>4</v>
      </c>
      <c r="P19" s="220">
        <v>0</v>
      </c>
      <c r="Q19" s="221">
        <v>10</v>
      </c>
      <c r="R19" s="220">
        <v>0</v>
      </c>
      <c r="S19" s="221">
        <v>7</v>
      </c>
      <c r="T19" s="220">
        <v>5</v>
      </c>
      <c r="U19" s="221">
        <v>0</v>
      </c>
      <c r="V19" s="220">
        <v>0</v>
      </c>
      <c r="X19" s="217">
        <f>X20/(X18*5280)</f>
        <v>7.1014692707400107</v>
      </c>
      <c r="Y19" s="218">
        <f>Y20/(Y18*5280)</f>
        <v>5</v>
      </c>
      <c r="AA19" t="s">
        <v>429</v>
      </c>
    </row>
    <row r="20" spans="2:27" x14ac:dyDescent="0.35">
      <c r="B20" s="181" t="s">
        <v>406</v>
      </c>
      <c r="C20" s="201">
        <v>6095.25</v>
      </c>
      <c r="D20" s="202">
        <v>335</v>
      </c>
      <c r="E20" s="203">
        <v>12331</v>
      </c>
      <c r="F20" s="202">
        <v>6373</v>
      </c>
      <c r="G20" s="203">
        <v>36020</v>
      </c>
      <c r="H20" s="202">
        <v>68480</v>
      </c>
      <c r="I20" s="203">
        <v>7247.5</v>
      </c>
      <c r="J20" s="202">
        <v>1129</v>
      </c>
      <c r="K20" s="203">
        <v>707</v>
      </c>
      <c r="L20" s="202">
        <v>1091</v>
      </c>
      <c r="M20" s="203">
        <v>0</v>
      </c>
      <c r="N20" s="202">
        <v>0</v>
      </c>
      <c r="O20" s="203">
        <v>7890</v>
      </c>
      <c r="P20" s="202">
        <v>0</v>
      </c>
      <c r="Q20" s="203">
        <v>1650</v>
      </c>
      <c r="R20" s="202">
        <v>0</v>
      </c>
      <c r="S20" s="203">
        <v>27142.5</v>
      </c>
      <c r="T20" s="202">
        <v>58000</v>
      </c>
      <c r="U20" s="203">
        <v>0</v>
      </c>
      <c r="V20" s="202">
        <v>0</v>
      </c>
      <c r="X20" s="184">
        <f t="shared" si="0"/>
        <v>99083.25</v>
      </c>
      <c r="Y20" s="185">
        <f t="shared" si="0"/>
        <v>135408</v>
      </c>
      <c r="AA20" t="s">
        <v>433</v>
      </c>
    </row>
    <row r="21" spans="2:27" x14ac:dyDescent="0.35">
      <c r="B21" s="181" t="s">
        <v>428</v>
      </c>
      <c r="C21" s="225">
        <v>0</v>
      </c>
      <c r="D21" s="230">
        <v>0.30189393939393938</v>
      </c>
      <c r="E21" s="231">
        <v>0</v>
      </c>
      <c r="F21" s="230">
        <v>0.30189393939393938</v>
      </c>
      <c r="G21" s="231">
        <v>0</v>
      </c>
      <c r="H21" s="230">
        <v>3.7803030303030304E-2</v>
      </c>
      <c r="I21" s="231">
        <v>0</v>
      </c>
      <c r="J21" s="230">
        <v>0.28922348484848481</v>
      </c>
      <c r="K21" s="231">
        <v>0</v>
      </c>
      <c r="L21" s="230">
        <v>0</v>
      </c>
      <c r="M21" s="231">
        <v>0</v>
      </c>
      <c r="N21" s="230">
        <v>0.20140151515151516</v>
      </c>
      <c r="O21" s="231">
        <v>0</v>
      </c>
      <c r="P21" s="230">
        <v>8.5227272727272721E-2</v>
      </c>
      <c r="Q21" s="231">
        <v>0</v>
      </c>
      <c r="R21" s="230">
        <v>0.23674242424242425</v>
      </c>
      <c r="S21" s="231">
        <v>0</v>
      </c>
      <c r="T21" s="230">
        <v>0</v>
      </c>
      <c r="U21" s="231">
        <v>4.2651515151515156</v>
      </c>
      <c r="V21" s="230">
        <v>8.2854166666666664</v>
      </c>
      <c r="W21" s="185"/>
      <c r="X21" s="217">
        <f>SUM(C21,E21,G21,I21,K21,M21,O21,Q21,S21,U21)</f>
        <v>4.2651515151515156</v>
      </c>
      <c r="Y21" s="218">
        <f>SUM(D21,F21,H21,J21,L21,N21,P21,R21,T21,V21)</f>
        <v>9.7396022727272733</v>
      </c>
      <c r="AA21" t="s">
        <v>434</v>
      </c>
    </row>
    <row r="22" spans="2:27" x14ac:dyDescent="0.35">
      <c r="B22" s="181" t="s">
        <v>376</v>
      </c>
      <c r="C22" s="225">
        <v>0</v>
      </c>
      <c r="D22" s="230">
        <v>10</v>
      </c>
      <c r="E22" s="231">
        <v>0</v>
      </c>
      <c r="F22" s="230">
        <v>10</v>
      </c>
      <c r="G22" s="231">
        <v>0</v>
      </c>
      <c r="H22" s="230">
        <v>10</v>
      </c>
      <c r="I22" s="231">
        <v>0</v>
      </c>
      <c r="J22" s="230">
        <v>10</v>
      </c>
      <c r="K22" s="231">
        <v>0</v>
      </c>
      <c r="L22" s="230">
        <v>0</v>
      </c>
      <c r="M22" s="231">
        <v>0</v>
      </c>
      <c r="N22" s="230">
        <v>10</v>
      </c>
      <c r="O22" s="231">
        <v>0</v>
      </c>
      <c r="P22" s="230">
        <v>10</v>
      </c>
      <c r="Q22" s="231">
        <v>0</v>
      </c>
      <c r="R22" s="230">
        <v>10</v>
      </c>
      <c r="S22" s="231">
        <v>0</v>
      </c>
      <c r="T22" s="230">
        <v>0</v>
      </c>
      <c r="U22" s="231">
        <v>8</v>
      </c>
      <c r="V22" s="230">
        <v>10</v>
      </c>
      <c r="X22" s="217">
        <f>X23/(X21*5280)</f>
        <v>7.9999999999999991</v>
      </c>
      <c r="Y22" s="218">
        <f>Y23/(Y21*5280)</f>
        <v>9.9999999999999982</v>
      </c>
      <c r="AA22" t="s">
        <v>430</v>
      </c>
    </row>
    <row r="23" spans="2:27" x14ac:dyDescent="0.35">
      <c r="B23" s="181" t="s">
        <v>407</v>
      </c>
      <c r="C23" s="201">
        <v>0</v>
      </c>
      <c r="D23" s="202">
        <v>15940</v>
      </c>
      <c r="E23" s="203">
        <v>0</v>
      </c>
      <c r="F23" s="202">
        <v>15940</v>
      </c>
      <c r="G23" s="203">
        <v>0</v>
      </c>
      <c r="H23" s="202">
        <v>1996</v>
      </c>
      <c r="I23" s="203">
        <v>0</v>
      </c>
      <c r="J23" s="202">
        <v>15271</v>
      </c>
      <c r="K23" s="203">
        <v>0</v>
      </c>
      <c r="L23" s="202">
        <v>0</v>
      </c>
      <c r="M23" s="203">
        <v>0</v>
      </c>
      <c r="N23" s="202">
        <v>10634</v>
      </c>
      <c r="O23" s="203">
        <v>0</v>
      </c>
      <c r="P23" s="202">
        <v>4500</v>
      </c>
      <c r="Q23" s="203">
        <v>0</v>
      </c>
      <c r="R23" s="202">
        <v>12500</v>
      </c>
      <c r="S23" s="203">
        <v>0</v>
      </c>
      <c r="T23" s="202">
        <v>0</v>
      </c>
      <c r="U23" s="203">
        <v>180160</v>
      </c>
      <c r="V23" s="202">
        <v>437469.99999999994</v>
      </c>
      <c r="X23" s="184">
        <f t="shared" ref="X23:Y25" si="1">SUM(C23,E23,G23,I23,K23,M23,O23,Q23,S23,U23)</f>
        <v>180160</v>
      </c>
      <c r="Y23" s="185">
        <f t="shared" si="1"/>
        <v>514250.99999999994</v>
      </c>
      <c r="AA23" t="s">
        <v>435</v>
      </c>
    </row>
    <row r="24" spans="2:27" x14ac:dyDescent="0.35">
      <c r="B24" s="181" t="s">
        <v>378</v>
      </c>
      <c r="C24" s="198">
        <v>4</v>
      </c>
      <c r="D24" s="199">
        <v>4</v>
      </c>
      <c r="E24" s="204">
        <v>8</v>
      </c>
      <c r="F24" s="199">
        <v>12</v>
      </c>
      <c r="G24" s="200">
        <v>19</v>
      </c>
      <c r="H24" s="199">
        <v>19</v>
      </c>
      <c r="I24" s="200">
        <v>7</v>
      </c>
      <c r="J24" s="199">
        <v>10</v>
      </c>
      <c r="K24" s="200">
        <v>0</v>
      </c>
      <c r="L24" s="199">
        <v>0</v>
      </c>
      <c r="M24" s="200">
        <v>0</v>
      </c>
      <c r="N24" s="199">
        <v>0</v>
      </c>
      <c r="O24" s="200">
        <v>2</v>
      </c>
      <c r="P24" s="199">
        <v>2</v>
      </c>
      <c r="Q24" s="200">
        <v>0</v>
      </c>
      <c r="R24" s="199">
        <v>0</v>
      </c>
      <c r="S24" s="200">
        <v>14</v>
      </c>
      <c r="T24" s="199">
        <v>15</v>
      </c>
      <c r="U24" s="200">
        <v>0</v>
      </c>
      <c r="V24" s="199">
        <v>1</v>
      </c>
      <c r="X24" s="184">
        <f t="shared" si="1"/>
        <v>54</v>
      </c>
      <c r="Y24" s="185">
        <f t="shared" si="1"/>
        <v>63</v>
      </c>
      <c r="AA24" t="s">
        <v>423</v>
      </c>
    </row>
    <row r="25" spans="2:27" x14ac:dyDescent="0.35">
      <c r="B25" s="181" t="s">
        <v>388</v>
      </c>
      <c r="C25" s="198">
        <v>0</v>
      </c>
      <c r="D25" s="199">
        <v>0</v>
      </c>
      <c r="E25" s="200">
        <v>0</v>
      </c>
      <c r="F25" s="199">
        <v>2</v>
      </c>
      <c r="G25" s="200">
        <v>0</v>
      </c>
      <c r="H25" s="199">
        <v>0</v>
      </c>
      <c r="I25" s="200">
        <v>0</v>
      </c>
      <c r="J25" s="199">
        <v>1</v>
      </c>
      <c r="K25" s="200">
        <v>0</v>
      </c>
      <c r="L25" s="199">
        <v>0</v>
      </c>
      <c r="M25" s="200">
        <v>0</v>
      </c>
      <c r="N25" s="199">
        <v>0</v>
      </c>
      <c r="O25" s="200">
        <v>0</v>
      </c>
      <c r="P25" s="199">
        <v>0</v>
      </c>
      <c r="Q25" s="200">
        <v>0</v>
      </c>
      <c r="R25" s="199">
        <v>0</v>
      </c>
      <c r="S25" s="200">
        <v>0</v>
      </c>
      <c r="T25" s="199">
        <v>1</v>
      </c>
      <c r="U25" s="200">
        <v>0</v>
      </c>
      <c r="V25" s="199">
        <v>1</v>
      </c>
      <c r="X25" s="184">
        <f t="shared" si="1"/>
        <v>0</v>
      </c>
      <c r="Y25" s="185">
        <f t="shared" si="1"/>
        <v>5</v>
      </c>
      <c r="AA25" t="s">
        <v>424</v>
      </c>
    </row>
    <row r="26" spans="2:27" x14ac:dyDescent="0.35">
      <c r="B26" s="187" t="s">
        <v>309</v>
      </c>
      <c r="C26" s="198"/>
      <c r="D26" s="199"/>
      <c r="E26" s="200"/>
      <c r="F26" s="199"/>
      <c r="G26" s="200"/>
      <c r="H26" s="199"/>
      <c r="I26" s="200"/>
      <c r="J26" s="199"/>
      <c r="K26" s="200"/>
      <c r="L26" s="199"/>
      <c r="M26" s="200"/>
      <c r="N26" s="199"/>
      <c r="O26" s="200"/>
      <c r="P26" s="199"/>
      <c r="Q26" s="200"/>
      <c r="R26" s="199"/>
      <c r="S26" s="200"/>
      <c r="T26" s="199"/>
      <c r="U26" s="200"/>
      <c r="V26" s="199"/>
      <c r="X26" s="182"/>
      <c r="Y26" s="183"/>
    </row>
    <row r="27" spans="2:27" x14ac:dyDescent="0.35">
      <c r="B27" s="181" t="s">
        <v>387</v>
      </c>
      <c r="C27" s="201"/>
      <c r="D27" s="211"/>
      <c r="E27" s="201"/>
      <c r="F27" s="211"/>
      <c r="G27" s="201"/>
      <c r="H27" s="211"/>
      <c r="I27" s="201"/>
      <c r="J27" s="211"/>
      <c r="K27" s="201"/>
      <c r="L27" s="211"/>
      <c r="M27" s="201"/>
      <c r="N27" s="211"/>
      <c r="O27" s="201"/>
      <c r="P27" s="211"/>
      <c r="Q27" s="201"/>
      <c r="R27" s="211"/>
      <c r="S27" s="201"/>
      <c r="T27" s="211"/>
      <c r="U27" s="203"/>
      <c r="V27" s="211"/>
      <c r="X27" s="202">
        <v>14679</v>
      </c>
      <c r="Y27" s="185">
        <f>X27*(1+Y3)</f>
        <v>14679</v>
      </c>
      <c r="AA27" t="s">
        <v>461</v>
      </c>
    </row>
    <row r="28" spans="2:27" x14ac:dyDescent="0.35">
      <c r="B28" s="181" t="s">
        <v>379</v>
      </c>
      <c r="C28" s="201"/>
      <c r="D28" s="211"/>
      <c r="E28" s="201"/>
      <c r="F28" s="211"/>
      <c r="G28" s="201"/>
      <c r="H28" s="211"/>
      <c r="I28" s="201"/>
      <c r="J28" s="211"/>
      <c r="K28" s="201"/>
      <c r="L28" s="211"/>
      <c r="M28" s="201"/>
      <c r="N28" s="211"/>
      <c r="O28" s="201"/>
      <c r="P28" s="211"/>
      <c r="Q28" s="201"/>
      <c r="R28" s="211"/>
      <c r="S28" s="201"/>
      <c r="T28" s="211"/>
      <c r="U28" s="203"/>
      <c r="V28" s="211"/>
      <c r="X28" s="202">
        <v>1735</v>
      </c>
      <c r="Y28" s="185">
        <f>X28*(1+Y4)</f>
        <v>1908.5000000000002</v>
      </c>
      <c r="AA28" t="s">
        <v>459</v>
      </c>
    </row>
    <row r="29" spans="2:27" x14ac:dyDescent="0.35">
      <c r="B29" s="181" t="s">
        <v>381</v>
      </c>
      <c r="C29" s="201"/>
      <c r="D29" s="211"/>
      <c r="E29" s="201"/>
      <c r="F29" s="211"/>
      <c r="G29" s="201"/>
      <c r="H29" s="211"/>
      <c r="I29" s="201"/>
      <c r="J29" s="211"/>
      <c r="K29" s="201"/>
      <c r="L29" s="211"/>
      <c r="M29" s="201"/>
      <c r="N29" s="211"/>
      <c r="O29" s="201"/>
      <c r="P29" s="211"/>
      <c r="Q29" s="201"/>
      <c r="R29" s="211"/>
      <c r="S29" s="201"/>
      <c r="T29" s="211"/>
      <c r="U29" s="203"/>
      <c r="V29" s="211"/>
      <c r="X29" s="211">
        <f>X28*0.5</f>
        <v>867.5</v>
      </c>
      <c r="Y29" s="185">
        <f>X29*(1+Y4)</f>
        <v>954.25000000000011</v>
      </c>
      <c r="AA29" t="s">
        <v>436</v>
      </c>
    </row>
    <row r="30" spans="2:27" x14ac:dyDescent="0.35">
      <c r="B30" s="181" t="s">
        <v>380</v>
      </c>
      <c r="C30" s="201"/>
      <c r="D30" s="211"/>
      <c r="E30" s="201"/>
      <c r="F30" s="211"/>
      <c r="G30" s="201"/>
      <c r="H30" s="211"/>
      <c r="I30" s="201"/>
      <c r="J30" s="211"/>
      <c r="K30" s="201"/>
      <c r="L30" s="211"/>
      <c r="M30" s="201"/>
      <c r="N30" s="211"/>
      <c r="O30" s="201"/>
      <c r="P30" s="211"/>
      <c r="Q30" s="201"/>
      <c r="R30" s="211"/>
      <c r="S30" s="201"/>
      <c r="T30" s="211"/>
      <c r="U30" s="203"/>
      <c r="V30" s="211"/>
      <c r="X30" s="202">
        <v>174</v>
      </c>
      <c r="Y30" s="185">
        <f>X30*(1+Y5)</f>
        <v>191.4</v>
      </c>
      <c r="AA30" t="s">
        <v>444</v>
      </c>
    </row>
    <row r="31" spans="2:27" x14ac:dyDescent="0.35">
      <c r="B31" s="181" t="s">
        <v>382</v>
      </c>
      <c r="C31" s="201"/>
      <c r="D31" s="211"/>
      <c r="E31" s="201"/>
      <c r="F31" s="211"/>
      <c r="G31" s="201"/>
      <c r="H31" s="211"/>
      <c r="I31" s="201"/>
      <c r="J31" s="211"/>
      <c r="K31" s="201"/>
      <c r="L31" s="211"/>
      <c r="M31" s="201"/>
      <c r="N31" s="211"/>
      <c r="O31" s="201"/>
      <c r="P31" s="211"/>
      <c r="Q31" s="201"/>
      <c r="R31" s="211"/>
      <c r="S31" s="201"/>
      <c r="T31" s="211"/>
      <c r="U31" s="203"/>
      <c r="V31" s="211"/>
      <c r="X31" s="211">
        <f>X30*0.5</f>
        <v>87</v>
      </c>
      <c r="Y31" s="185">
        <f>X31*(1+Y5)</f>
        <v>95.7</v>
      </c>
      <c r="AA31" t="s">
        <v>436</v>
      </c>
    </row>
    <row r="32" spans="2:27" x14ac:dyDescent="0.35">
      <c r="B32" s="187" t="s">
        <v>219</v>
      </c>
      <c r="C32" s="198"/>
      <c r="D32" s="199"/>
      <c r="E32" s="200"/>
      <c r="F32" s="199"/>
      <c r="G32" s="200"/>
      <c r="H32" s="199"/>
      <c r="I32" s="200"/>
      <c r="J32" s="199"/>
      <c r="K32" s="200"/>
      <c r="L32" s="199"/>
      <c r="M32" s="200"/>
      <c r="N32" s="199"/>
      <c r="O32" s="200"/>
      <c r="P32" s="199"/>
      <c r="Q32" s="200"/>
      <c r="R32" s="199"/>
      <c r="S32" s="200"/>
      <c r="T32" s="199"/>
      <c r="U32" s="200"/>
      <c r="V32" s="199"/>
      <c r="X32" s="182"/>
      <c r="Y32" s="183"/>
    </row>
    <row r="33" spans="2:27" x14ac:dyDescent="0.35">
      <c r="B33" s="181" t="s">
        <v>445</v>
      </c>
      <c r="C33" s="198" t="s">
        <v>377</v>
      </c>
      <c r="D33" s="205">
        <f>D$36*0.25</f>
        <v>425000</v>
      </c>
      <c r="E33" s="198" t="s">
        <v>377</v>
      </c>
      <c r="F33" s="205">
        <f>F$36*0.25</f>
        <v>800000</v>
      </c>
      <c r="G33" s="198" t="s">
        <v>377</v>
      </c>
      <c r="H33" s="205">
        <f>H$36*0.25</f>
        <v>2050000</v>
      </c>
      <c r="I33" s="198" t="s">
        <v>377</v>
      </c>
      <c r="J33" s="205">
        <f>J$36*0.25</f>
        <v>650000</v>
      </c>
      <c r="K33" s="198" t="s">
        <v>377</v>
      </c>
      <c r="L33" s="205">
        <f>L$36*0.25</f>
        <v>700000</v>
      </c>
      <c r="M33" s="198" t="s">
        <v>377</v>
      </c>
      <c r="N33" s="205">
        <f>N$36*0.25</f>
        <v>300000</v>
      </c>
      <c r="O33" s="198" t="s">
        <v>377</v>
      </c>
      <c r="P33" s="205">
        <f>P$36*0.25</f>
        <v>75000</v>
      </c>
      <c r="Q33" s="198" t="s">
        <v>377</v>
      </c>
      <c r="R33" s="205">
        <f>R$36*0.25</f>
        <v>250000</v>
      </c>
      <c r="S33" s="198" t="s">
        <v>377</v>
      </c>
      <c r="T33" s="205">
        <f>T$36*0.25</f>
        <v>1475000</v>
      </c>
      <c r="U33" s="198" t="s">
        <v>377</v>
      </c>
      <c r="V33" s="205">
        <f>V$36*0.25</f>
        <v>950000</v>
      </c>
      <c r="X33" s="188" t="s">
        <v>377</v>
      </c>
      <c r="Y33" s="189">
        <f>SUM(D33,F33,H33,J33,L33,N33,P33,R33,T33,V33)</f>
        <v>7675000</v>
      </c>
      <c r="AA33" t="s">
        <v>517</v>
      </c>
    </row>
    <row r="34" spans="2:27" x14ac:dyDescent="0.35">
      <c r="B34" s="181" t="s">
        <v>446</v>
      </c>
      <c r="C34" s="198" t="s">
        <v>377</v>
      </c>
      <c r="D34" s="205">
        <f>D$36*0.5</f>
        <v>850000</v>
      </c>
      <c r="E34" s="198" t="s">
        <v>377</v>
      </c>
      <c r="F34" s="205">
        <f>F$36*0.5</f>
        <v>1600000</v>
      </c>
      <c r="G34" s="198" t="s">
        <v>377</v>
      </c>
      <c r="H34" s="205">
        <f>H$36*0.5</f>
        <v>4100000</v>
      </c>
      <c r="I34" s="198" t="s">
        <v>377</v>
      </c>
      <c r="J34" s="205">
        <f>J$36*0.5</f>
        <v>1300000</v>
      </c>
      <c r="K34" s="198" t="s">
        <v>377</v>
      </c>
      <c r="L34" s="205">
        <f>L$36*0.5</f>
        <v>1400000</v>
      </c>
      <c r="M34" s="198" t="s">
        <v>377</v>
      </c>
      <c r="N34" s="205">
        <f>N$36*0.5</f>
        <v>600000</v>
      </c>
      <c r="O34" s="198" t="s">
        <v>377</v>
      </c>
      <c r="P34" s="205">
        <f>P$36*0.5</f>
        <v>150000</v>
      </c>
      <c r="Q34" s="198" t="s">
        <v>377</v>
      </c>
      <c r="R34" s="205">
        <f>R$36*0.5</f>
        <v>500000</v>
      </c>
      <c r="S34" s="198" t="s">
        <v>377</v>
      </c>
      <c r="T34" s="205">
        <f>T$36*0.5</f>
        <v>2950000</v>
      </c>
      <c r="U34" s="198" t="s">
        <v>377</v>
      </c>
      <c r="V34" s="205">
        <f>V$36*0.5</f>
        <v>1900000</v>
      </c>
      <c r="X34" s="188" t="s">
        <v>377</v>
      </c>
      <c r="Y34" s="189">
        <f>SUM(D34,F34,H34,J34,L34,N34,P34,R34,T34,V34)</f>
        <v>15350000</v>
      </c>
      <c r="AA34" t="s">
        <v>518</v>
      </c>
    </row>
    <row r="35" spans="2:27" x14ac:dyDescent="0.35">
      <c r="B35" s="181" t="s">
        <v>447</v>
      </c>
      <c r="C35" s="198" t="s">
        <v>377</v>
      </c>
      <c r="D35" s="205">
        <f>D$36*0.25</f>
        <v>425000</v>
      </c>
      <c r="E35" s="198" t="s">
        <v>377</v>
      </c>
      <c r="F35" s="205">
        <f>F$36*0.25</f>
        <v>800000</v>
      </c>
      <c r="G35" s="198" t="s">
        <v>377</v>
      </c>
      <c r="H35" s="205">
        <f>H$36*0.25</f>
        <v>2050000</v>
      </c>
      <c r="I35" s="198" t="s">
        <v>377</v>
      </c>
      <c r="J35" s="205">
        <f>J$36*0.25</f>
        <v>650000</v>
      </c>
      <c r="K35" s="198" t="s">
        <v>377</v>
      </c>
      <c r="L35" s="205">
        <f>L$36*0.25</f>
        <v>700000</v>
      </c>
      <c r="M35" s="198" t="s">
        <v>377</v>
      </c>
      <c r="N35" s="205">
        <f>N$36*0.25</f>
        <v>300000</v>
      </c>
      <c r="O35" s="198" t="s">
        <v>377</v>
      </c>
      <c r="P35" s="205">
        <f>P$36*0.25</f>
        <v>75000</v>
      </c>
      <c r="Q35" s="198" t="s">
        <v>377</v>
      </c>
      <c r="R35" s="205">
        <f>R$36*0.25</f>
        <v>250000</v>
      </c>
      <c r="S35" s="198" t="s">
        <v>377</v>
      </c>
      <c r="T35" s="205">
        <f>T$36*0.25</f>
        <v>1475000</v>
      </c>
      <c r="U35" s="198" t="s">
        <v>377</v>
      </c>
      <c r="V35" s="205">
        <f>V$36*0.25</f>
        <v>950000</v>
      </c>
      <c r="X35" s="188" t="s">
        <v>377</v>
      </c>
      <c r="Y35" s="189">
        <f>SUM(D35,F35,H35,J35,L35,N35,P35,R35,T35,V35)</f>
        <v>7675000</v>
      </c>
      <c r="AA35" t="s">
        <v>517</v>
      </c>
    </row>
    <row r="36" spans="2:27" x14ac:dyDescent="0.35">
      <c r="B36" s="181" t="s">
        <v>385</v>
      </c>
      <c r="C36" s="206" t="s">
        <v>377</v>
      </c>
      <c r="D36" s="207">
        <v>1700000</v>
      </c>
      <c r="E36" s="206" t="s">
        <v>377</v>
      </c>
      <c r="F36" s="207">
        <v>3200000</v>
      </c>
      <c r="G36" s="206" t="s">
        <v>377</v>
      </c>
      <c r="H36" s="207">
        <v>8200000</v>
      </c>
      <c r="I36" s="206" t="s">
        <v>377</v>
      </c>
      <c r="J36" s="207">
        <v>2600000</v>
      </c>
      <c r="K36" s="206" t="s">
        <v>377</v>
      </c>
      <c r="L36" s="207">
        <v>2800000</v>
      </c>
      <c r="M36" s="206" t="s">
        <v>377</v>
      </c>
      <c r="N36" s="207">
        <v>1200000</v>
      </c>
      <c r="O36" s="206" t="s">
        <v>377</v>
      </c>
      <c r="P36" s="207">
        <v>300000</v>
      </c>
      <c r="Q36" s="206" t="s">
        <v>377</v>
      </c>
      <c r="R36" s="207">
        <v>1000000</v>
      </c>
      <c r="S36" s="206" t="s">
        <v>377</v>
      </c>
      <c r="T36" s="207">
        <v>5900000</v>
      </c>
      <c r="U36" s="206" t="s">
        <v>377</v>
      </c>
      <c r="V36" s="207">
        <v>3800000</v>
      </c>
      <c r="X36" s="193" t="s">
        <v>377</v>
      </c>
      <c r="Y36" s="194">
        <f>SUM(Y33:Y35)</f>
        <v>30700000</v>
      </c>
      <c r="AA36" t="s">
        <v>437</v>
      </c>
    </row>
    <row r="37" spans="2:27" x14ac:dyDescent="0.35">
      <c r="B37" s="181"/>
      <c r="C37" s="242"/>
      <c r="D37" s="243"/>
      <c r="E37" s="242"/>
      <c r="F37" s="243"/>
      <c r="G37" s="242"/>
      <c r="H37" s="243"/>
      <c r="I37" s="242"/>
      <c r="J37" s="243"/>
      <c r="K37" s="242"/>
      <c r="L37" s="243"/>
      <c r="M37" s="242"/>
      <c r="N37" s="243"/>
      <c r="O37" s="242"/>
      <c r="P37" s="243"/>
      <c r="Q37" s="242"/>
      <c r="R37" s="243"/>
      <c r="S37" s="242"/>
      <c r="T37" s="243"/>
      <c r="U37" s="242"/>
      <c r="V37" s="243"/>
    </row>
    <row r="39" spans="2:27" x14ac:dyDescent="0.35">
      <c r="B39" s="192" t="s">
        <v>451</v>
      </c>
      <c r="X39" s="178" t="s">
        <v>192</v>
      </c>
      <c r="Y39" s="238" t="s">
        <v>193</v>
      </c>
    </row>
    <row r="40" spans="2:27" x14ac:dyDescent="0.35">
      <c r="B40" s="181" t="s">
        <v>452</v>
      </c>
      <c r="C40" s="179"/>
      <c r="D40" s="179"/>
      <c r="E40" s="179"/>
      <c r="F40" s="179"/>
      <c r="G40" s="179"/>
      <c r="H40" s="179"/>
      <c r="I40" s="179"/>
      <c r="J40" s="179"/>
      <c r="K40" s="179"/>
      <c r="L40" s="179"/>
      <c r="M40" s="179"/>
      <c r="N40" s="179"/>
      <c r="O40" s="179"/>
      <c r="P40" s="179"/>
      <c r="Q40" s="179"/>
      <c r="R40" s="179"/>
      <c r="S40" s="179"/>
      <c r="T40" s="179"/>
      <c r="U40" s="179"/>
      <c r="V40" s="179"/>
      <c r="W40" s="179"/>
      <c r="X40" s="237">
        <f>X15</f>
        <v>3.177083333333333</v>
      </c>
      <c r="Y40" s="222">
        <f>Y15</f>
        <v>3.177083333333333</v>
      </c>
      <c r="AA40" t="s">
        <v>425</v>
      </c>
    </row>
    <row r="41" spans="2:27" x14ac:dyDescent="0.35">
      <c r="B41" s="181" t="s">
        <v>453</v>
      </c>
      <c r="C41" s="179"/>
      <c r="D41" s="179"/>
      <c r="E41" s="179"/>
      <c r="F41" s="179"/>
      <c r="G41" s="179"/>
      <c r="H41" s="179"/>
      <c r="I41" s="179"/>
      <c r="J41" s="179"/>
      <c r="K41" s="179"/>
      <c r="L41" s="179"/>
      <c r="M41" s="179"/>
      <c r="N41" s="179"/>
      <c r="O41" s="179"/>
      <c r="P41" s="179"/>
      <c r="Q41" s="179"/>
      <c r="R41" s="179"/>
      <c r="S41" s="179"/>
      <c r="T41" s="179"/>
      <c r="U41" s="179"/>
      <c r="V41" s="179"/>
      <c r="W41" s="179"/>
      <c r="X41" s="199">
        <v>0.86</v>
      </c>
      <c r="Y41" s="221">
        <v>0.86</v>
      </c>
      <c r="AA41" t="s">
        <v>426</v>
      </c>
    </row>
    <row r="42" spans="2:27" x14ac:dyDescent="0.35">
      <c r="B42" s="181" t="s">
        <v>454</v>
      </c>
      <c r="C42" s="179"/>
      <c r="D42" s="179"/>
      <c r="E42" s="179"/>
      <c r="F42" s="179"/>
      <c r="G42" s="179"/>
      <c r="H42" s="179"/>
      <c r="I42" s="179"/>
      <c r="J42" s="179"/>
      <c r="K42" s="179"/>
      <c r="L42" s="179"/>
      <c r="M42" s="179"/>
      <c r="N42" s="179"/>
      <c r="O42" s="179"/>
      <c r="P42" s="179"/>
      <c r="Q42" s="179"/>
      <c r="R42" s="179"/>
      <c r="S42" s="179"/>
      <c r="T42" s="179"/>
      <c r="U42" s="179"/>
      <c r="V42" s="179"/>
      <c r="W42" s="179"/>
      <c r="X42" s="199">
        <v>2.38</v>
      </c>
      <c r="Y42" s="221">
        <v>2.38</v>
      </c>
      <c r="AA42" t="s">
        <v>427</v>
      </c>
    </row>
    <row r="44" spans="2:27" x14ac:dyDescent="0.35">
      <c r="C44" s="213"/>
      <c r="D44" s="213"/>
      <c r="E44" s="213"/>
      <c r="F44" s="213"/>
      <c r="G44" s="213"/>
      <c r="H44" s="213"/>
      <c r="I44" s="213"/>
      <c r="J44" s="213"/>
      <c r="K44" s="213"/>
      <c r="L44" s="213"/>
      <c r="M44" s="213"/>
      <c r="N44" s="213"/>
      <c r="O44" s="213"/>
      <c r="P44" s="213"/>
      <c r="Q44" s="213"/>
      <c r="R44" s="213"/>
      <c r="S44" s="213"/>
      <c r="T44" s="213"/>
      <c r="U44" s="213"/>
      <c r="V44" s="213"/>
    </row>
    <row r="45" spans="2:27" ht="26" x14ac:dyDescent="0.6">
      <c r="C45" s="213"/>
      <c r="D45" s="213"/>
      <c r="E45" s="213"/>
      <c r="F45" s="213"/>
      <c r="G45" s="213"/>
      <c r="H45" s="213"/>
      <c r="I45" s="213"/>
      <c r="J45" s="213"/>
      <c r="K45" s="213"/>
      <c r="L45" s="213"/>
      <c r="M45" s="213"/>
      <c r="N45" s="213"/>
      <c r="O45" s="213"/>
      <c r="P45" s="213"/>
      <c r="Q45" s="213"/>
      <c r="R45" s="213"/>
      <c r="S45" s="213"/>
      <c r="T45" s="213"/>
      <c r="U45" s="213"/>
      <c r="V45" s="213"/>
      <c r="X45" s="234" t="s">
        <v>462</v>
      </c>
      <c r="Y45" s="235">
        <f>'Final Results'!B8</f>
        <v>2.8166943669218316</v>
      </c>
    </row>
    <row r="46" spans="2:27" x14ac:dyDescent="0.35">
      <c r="X46" s="186"/>
      <c r="Y46" s="186"/>
    </row>
  </sheetData>
  <conditionalFormatting sqref="X3:Y8">
    <cfRule type="expression" dxfId="23" priority="1">
      <formula>MOD(ROW(),2)</formula>
    </cfRule>
  </conditionalFormatting>
  <conditionalFormatting sqref="X12:Y36 C12:V37">
    <cfRule type="expression" dxfId="22" priority="9">
      <formula>MOD(ROW(),2)</formula>
    </cfRule>
  </conditionalFormatting>
  <conditionalFormatting sqref="X40:Y42">
    <cfRule type="expression" dxfId="21" priority="2">
      <formula>MOD(ROW(),2)</formula>
    </cfRule>
  </conditionalFormatting>
  <pageMargins left="0.7" right="0.7" top="0.75" bottom="0.75" header="0.3" footer="0.3"/>
  <ignoredErrors>
    <ignoredError sqref="X16:Y16 X19:Y19 X22:Y22 D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FC47D-08A0-438D-8A10-8AAFD711382F}">
  <sheetPr>
    <tabColor rgb="FFFFFF00"/>
  </sheetPr>
  <dimension ref="B2:G15"/>
  <sheetViews>
    <sheetView showGridLines="0" workbookViewId="0"/>
  </sheetViews>
  <sheetFormatPr defaultRowHeight="14.5" x14ac:dyDescent="0.35"/>
  <cols>
    <col min="1" max="1" width="2.54296875" customWidth="1"/>
    <col min="2" max="2" width="27.54296875" bestFit="1" customWidth="1"/>
    <col min="3" max="5" width="15.6328125" customWidth="1"/>
  </cols>
  <sheetData>
    <row r="2" spans="2:7" ht="15" thickBot="1" x14ac:dyDescent="0.4">
      <c r="B2" s="247" t="s">
        <v>490</v>
      </c>
      <c r="C2" s="248"/>
      <c r="D2" s="248"/>
      <c r="E2" s="249"/>
      <c r="F2" s="5"/>
      <c r="G2" s="5"/>
    </row>
    <row r="3" spans="2:7" x14ac:dyDescent="0.35">
      <c r="B3" s="250"/>
      <c r="C3" s="250" t="s">
        <v>491</v>
      </c>
      <c r="D3" s="251" t="s">
        <v>492</v>
      </c>
      <c r="E3" s="251" t="s">
        <v>494</v>
      </c>
      <c r="F3" s="5"/>
      <c r="G3" s="5"/>
    </row>
    <row r="4" spans="2:7" x14ac:dyDescent="0.35">
      <c r="B4" s="252" t="s">
        <v>5</v>
      </c>
      <c r="C4" s="264">
        <f>-Summary!B56</f>
        <v>-24798699.651553918</v>
      </c>
      <c r="D4" s="253"/>
      <c r="E4" s="264">
        <f>-Summary!C56</f>
        <v>-20041110.156654336</v>
      </c>
      <c r="F4" s="5"/>
      <c r="G4" s="5"/>
    </row>
    <row r="5" spans="2:7" x14ac:dyDescent="0.35">
      <c r="B5" s="254" t="s">
        <v>7</v>
      </c>
      <c r="C5" s="43"/>
      <c r="D5" s="255">
        <f>-Summary!B36</f>
        <v>5423095.5204370031</v>
      </c>
      <c r="E5" s="255">
        <f>-Summary!B37</f>
        <v>2969403.742649904</v>
      </c>
      <c r="F5" s="5"/>
      <c r="G5" s="256"/>
    </row>
    <row r="6" spans="2:7" x14ac:dyDescent="0.35">
      <c r="B6" s="257" t="s">
        <v>8</v>
      </c>
      <c r="C6" s="258"/>
      <c r="D6" s="259">
        <f>Summary!C36</f>
        <v>14053142.557017827</v>
      </c>
      <c r="E6" s="259">
        <f>Summary!C37</f>
        <v>8096938.256339496</v>
      </c>
      <c r="F6" s="5"/>
      <c r="G6" s="256"/>
    </row>
    <row r="7" spans="2:7" x14ac:dyDescent="0.35">
      <c r="B7" s="257" t="s">
        <v>9</v>
      </c>
      <c r="C7" s="258"/>
      <c r="D7" s="259">
        <f>Summary!D36</f>
        <v>8234108.6786274621</v>
      </c>
      <c r="E7" s="259">
        <f>Summary!D37</f>
        <v>4744210.7198678991</v>
      </c>
      <c r="F7" s="5"/>
      <c r="G7" s="256"/>
    </row>
    <row r="8" spans="2:7" x14ac:dyDescent="0.35">
      <c r="B8" s="257" t="s">
        <v>10</v>
      </c>
      <c r="C8" s="258"/>
      <c r="D8" s="259">
        <f>Summary!E36</f>
        <v>0</v>
      </c>
      <c r="E8" s="259">
        <f>Summary!E37</f>
        <v>0</v>
      </c>
      <c r="F8" s="5"/>
      <c r="G8" s="256"/>
    </row>
    <row r="9" spans="2:7" x14ac:dyDescent="0.35">
      <c r="B9" s="257" t="s">
        <v>495</v>
      </c>
      <c r="C9" s="258"/>
      <c r="D9" s="259">
        <f>Summary!F36+Summary!G36</f>
        <v>0</v>
      </c>
      <c r="E9" s="259">
        <f>Summary!F37+Summary!G37</f>
        <v>0</v>
      </c>
      <c r="F9" s="5"/>
      <c r="G9" s="256"/>
    </row>
    <row r="10" spans="2:7" x14ac:dyDescent="0.35">
      <c r="B10" s="257" t="s">
        <v>14</v>
      </c>
      <c r="C10" s="258"/>
      <c r="D10" s="259">
        <f>Summary!I36</f>
        <v>62033076.408783942</v>
      </c>
      <c r="E10" s="259">
        <f>Summary!I37</f>
        <v>35741328.851879261</v>
      </c>
      <c r="F10" s="5"/>
      <c r="G10" s="256"/>
    </row>
    <row r="11" spans="2:7" ht="15" thickBot="1" x14ac:dyDescent="0.4">
      <c r="B11" s="260" t="s">
        <v>13</v>
      </c>
      <c r="C11" s="258"/>
      <c r="D11" s="259">
        <f>Summary!J36</f>
        <v>8500680.9568307679</v>
      </c>
      <c r="E11" s="259">
        <f>Summary!J37</f>
        <v>4897800.5143716233</v>
      </c>
      <c r="F11" s="5"/>
      <c r="G11" s="256"/>
    </row>
    <row r="12" spans="2:7" x14ac:dyDescent="0.35">
      <c r="B12" s="257" t="s">
        <v>21</v>
      </c>
      <c r="C12" s="265">
        <f>SUM(C4:C11)</f>
        <v>-24798699.651553918</v>
      </c>
      <c r="D12" s="265">
        <f>SUM(D4:D11)</f>
        <v>98244104.121697009</v>
      </c>
      <c r="E12" s="265">
        <f>SUM(E4:E11)</f>
        <v>36408571.928453848</v>
      </c>
      <c r="F12" s="5"/>
      <c r="G12" s="5"/>
    </row>
    <row r="13" spans="2:7" x14ac:dyDescent="0.35">
      <c r="B13" s="179"/>
      <c r="C13" s="215"/>
      <c r="D13" s="215"/>
      <c r="E13" s="215"/>
      <c r="F13" s="5"/>
      <c r="G13" s="5"/>
    </row>
    <row r="14" spans="2:7" x14ac:dyDescent="0.35">
      <c r="B14" s="266" t="s">
        <v>2</v>
      </c>
      <c r="C14" s="267">
        <f>E12</f>
        <v>36408571.928453848</v>
      </c>
      <c r="D14" s="268"/>
      <c r="E14" s="269"/>
      <c r="F14" s="5"/>
      <c r="G14" s="5"/>
    </row>
    <row r="15" spans="2:7" x14ac:dyDescent="0.35">
      <c r="B15" s="261" t="s">
        <v>493</v>
      </c>
      <c r="C15" s="262">
        <f>'Final Results'!B8</f>
        <v>2.8166943669218316</v>
      </c>
      <c r="D15" s="262"/>
      <c r="E15" s="263"/>
      <c r="F15" s="5"/>
      <c r="G15"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X246"/>
  <sheetViews>
    <sheetView workbookViewId="0"/>
  </sheetViews>
  <sheetFormatPr defaultRowHeight="14.5" x14ac:dyDescent="0.35"/>
  <cols>
    <col min="1" max="1" width="30.1796875" customWidth="1"/>
    <col min="2" max="5" width="20.7265625" customWidth="1"/>
    <col min="6" max="6" width="16.54296875" customWidth="1"/>
    <col min="7" max="7" width="17.453125" customWidth="1"/>
    <col min="8" max="8" width="21.1796875" customWidth="1"/>
    <col min="9" max="9" width="16.1796875" customWidth="1"/>
    <col min="10" max="10" width="16.81640625" customWidth="1"/>
    <col min="11" max="11" width="17.26953125" customWidth="1"/>
    <col min="12" max="12" width="16.81640625" customWidth="1"/>
    <col min="13" max="13" width="17.26953125" customWidth="1"/>
    <col min="14" max="76" width="9.1796875" style="5"/>
  </cols>
  <sheetData>
    <row r="1" spans="1:62" ht="20" thickBot="1" x14ac:dyDescent="0.5">
      <c r="A1" s="96" t="s">
        <v>309</v>
      </c>
      <c r="B1" s="5"/>
      <c r="C1" s="5"/>
      <c r="D1" s="5"/>
      <c r="E1" s="5"/>
      <c r="F1" s="5"/>
      <c r="G1" s="5"/>
      <c r="H1" s="5"/>
      <c r="I1" s="5"/>
      <c r="J1" s="5"/>
      <c r="K1" s="5"/>
      <c r="L1" s="5"/>
      <c r="M1" s="5"/>
    </row>
    <row r="2" spans="1:62" ht="15" thickTop="1" x14ac:dyDescent="0.35">
      <c r="A2" s="152" t="s">
        <v>333</v>
      </c>
      <c r="B2" s="152"/>
      <c r="C2" s="152"/>
      <c r="D2" s="152"/>
      <c r="E2" s="152"/>
      <c r="F2" s="152"/>
      <c r="G2" s="152"/>
      <c r="H2" s="152"/>
      <c r="I2" s="5"/>
      <c r="J2" s="5"/>
      <c r="K2" s="5"/>
      <c r="L2" s="5"/>
      <c r="M2" s="5"/>
    </row>
    <row r="3" spans="1:62" x14ac:dyDescent="0.35">
      <c r="A3" s="152" t="s">
        <v>310</v>
      </c>
      <c r="B3" s="152"/>
      <c r="C3" s="152"/>
      <c r="D3" s="152"/>
      <c r="E3" s="152"/>
      <c r="F3" s="152"/>
      <c r="G3" s="152"/>
      <c r="H3" s="152"/>
      <c r="I3" s="5"/>
      <c r="J3" s="5"/>
      <c r="K3" s="5"/>
      <c r="L3" s="5"/>
      <c r="M3" s="5"/>
    </row>
    <row r="4" spans="1:62" x14ac:dyDescent="0.35">
      <c r="A4" s="152" t="s">
        <v>216</v>
      </c>
      <c r="B4" s="152"/>
      <c r="C4" s="152"/>
      <c r="D4" s="152"/>
      <c r="E4" s="152"/>
      <c r="F4" s="5"/>
      <c r="G4" s="5"/>
      <c r="H4" s="5"/>
      <c r="I4" s="5"/>
      <c r="J4" s="5"/>
      <c r="K4" s="5"/>
      <c r="L4" s="5"/>
      <c r="M4" s="5"/>
    </row>
    <row r="5" spans="1:62" x14ac:dyDescent="0.35">
      <c r="A5" s="152" t="s">
        <v>215</v>
      </c>
      <c r="B5" s="152"/>
      <c r="C5" s="152"/>
      <c r="D5" s="152"/>
      <c r="E5" s="5"/>
      <c r="F5" s="5"/>
      <c r="G5" s="5"/>
      <c r="H5" s="5"/>
      <c r="I5" s="5"/>
      <c r="J5" s="5"/>
      <c r="K5" s="5"/>
      <c r="L5" s="5"/>
      <c r="M5" s="5"/>
    </row>
    <row r="6" spans="1:62" x14ac:dyDescent="0.35">
      <c r="A6" s="5" t="s">
        <v>205</v>
      </c>
      <c r="B6" s="5"/>
      <c r="C6" s="5"/>
      <c r="D6" s="5"/>
      <c r="E6" s="5"/>
      <c r="F6" s="5"/>
      <c r="G6" s="5"/>
      <c r="H6" s="5"/>
      <c r="I6" s="5"/>
      <c r="J6" s="5"/>
      <c r="K6" s="5"/>
      <c r="L6" s="5"/>
      <c r="M6" s="5"/>
    </row>
    <row r="7" spans="1:62" ht="15" thickBot="1" x14ac:dyDescent="0.4">
      <c r="A7" s="146" t="s">
        <v>218</v>
      </c>
      <c r="B7" s="214" t="s">
        <v>389</v>
      </c>
      <c r="C7" s="214" t="s">
        <v>389</v>
      </c>
      <c r="D7" s="5"/>
      <c r="E7" s="5"/>
      <c r="F7" s="214" t="s">
        <v>389</v>
      </c>
      <c r="G7" s="214" t="s">
        <v>389</v>
      </c>
      <c r="H7" s="214" t="s">
        <v>389</v>
      </c>
      <c r="I7" s="214" t="s">
        <v>389</v>
      </c>
      <c r="J7" s="5"/>
      <c r="K7" s="5"/>
      <c r="L7" s="5"/>
      <c r="M7" s="5"/>
    </row>
    <row r="8" spans="1:62" x14ac:dyDescent="0.35">
      <c r="A8" s="5"/>
      <c r="B8" s="309" t="s">
        <v>189</v>
      </c>
      <c r="C8" s="308"/>
      <c r="D8" s="307" t="s">
        <v>190</v>
      </c>
      <c r="E8" s="308"/>
      <c r="F8" s="307" t="s">
        <v>187</v>
      </c>
      <c r="G8" s="308"/>
      <c r="H8" s="307" t="s">
        <v>188</v>
      </c>
      <c r="I8" s="308"/>
      <c r="J8" s="307" t="s">
        <v>191</v>
      </c>
      <c r="K8" s="308"/>
      <c r="L8" s="307" t="s">
        <v>194</v>
      </c>
      <c r="M8" s="308"/>
      <c r="O8" s="10" t="s">
        <v>161</v>
      </c>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2"/>
    </row>
    <row r="9" spans="1:62" x14ac:dyDescent="0.35">
      <c r="A9" s="102" t="s">
        <v>4</v>
      </c>
      <c r="B9" s="103" t="s">
        <v>192</v>
      </c>
      <c r="C9" s="103" t="s">
        <v>193</v>
      </c>
      <c r="D9" s="103" t="s">
        <v>192</v>
      </c>
      <c r="E9" s="103" t="s">
        <v>193</v>
      </c>
      <c r="F9" s="103" t="s">
        <v>192</v>
      </c>
      <c r="G9" s="103" t="s">
        <v>193</v>
      </c>
      <c r="H9" s="103" t="s">
        <v>192</v>
      </c>
      <c r="I9" s="103" t="s">
        <v>193</v>
      </c>
      <c r="J9" s="103" t="s">
        <v>192</v>
      </c>
      <c r="K9" s="103" t="s">
        <v>193</v>
      </c>
      <c r="L9" s="103" t="s">
        <v>192</v>
      </c>
      <c r="M9" s="103" t="s">
        <v>193</v>
      </c>
      <c r="O9" s="13"/>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s="14"/>
    </row>
    <row r="10" spans="1:62" x14ac:dyDescent="0.35">
      <c r="A10" s="6">
        <f>'Project Information'!$B$9</f>
        <v>2032</v>
      </c>
      <c r="B10" s="208">
        <f>(Inputs!X$27*365)</f>
        <v>5357835</v>
      </c>
      <c r="C10" s="208">
        <f>(Inputs!Y$27*365)</f>
        <v>5357835</v>
      </c>
      <c r="D10" s="41">
        <v>0</v>
      </c>
      <c r="E10" s="41">
        <v>0</v>
      </c>
      <c r="F10" s="208">
        <f>(Inputs!X$28*182.5)+(Inputs!X$29*182.5)</f>
        <v>474956.25</v>
      </c>
      <c r="G10" s="208">
        <f>(Inputs!Y$28*182.5)+(Inputs!Y$29*182.5)</f>
        <v>522451.87500000012</v>
      </c>
      <c r="H10" s="208">
        <f>(Inputs!X$30*182.5)+(Inputs!X$31*182.5)</f>
        <v>47632.5</v>
      </c>
      <c r="I10" s="208">
        <f>(Inputs!Y$30*182.5)+(Inputs!Y$31*182.5)</f>
        <v>52395.75</v>
      </c>
      <c r="J10" s="41">
        <v>0</v>
      </c>
      <c r="K10" s="41">
        <v>0</v>
      </c>
      <c r="L10" s="41">
        <v>0</v>
      </c>
      <c r="M10" s="41">
        <v>0</v>
      </c>
      <c r="O10" s="13"/>
      <c r="P10" s="246" t="s">
        <v>463</v>
      </c>
      <c r="Q10" s="245"/>
      <c r="R10" s="245"/>
      <c r="S10" s="245"/>
      <c r="T10" s="245"/>
      <c r="U10" s="245"/>
      <c r="V10" s="245"/>
      <c r="W10" s="245"/>
      <c r="X10" s="245"/>
      <c r="Y10" s="245"/>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s="14"/>
    </row>
    <row r="11" spans="1:62" x14ac:dyDescent="0.35">
      <c r="A11" s="1">
        <f>IF(A10&lt;'Project Information'!B$11,A10+1,"")</f>
        <v>2033</v>
      </c>
      <c r="B11" s="208">
        <f>B10*(1+(Inputs!X$6/20))</f>
        <v>5368550.67</v>
      </c>
      <c r="C11" s="208">
        <f>C10*(1+(Inputs!Y$6/20))</f>
        <v>5368550.67</v>
      </c>
      <c r="D11" s="41">
        <v>0</v>
      </c>
      <c r="E11" s="41">
        <v>0</v>
      </c>
      <c r="F11" s="208">
        <f>F10*(1+(Inputs!X$7/20))</f>
        <v>475906.16249999998</v>
      </c>
      <c r="G11" s="208">
        <f>G10*(1+(Inputs!Y$7/20))</f>
        <v>523496.77875000011</v>
      </c>
      <c r="H11" s="208">
        <f>H10*(1+(Inputs!X$8/20))</f>
        <v>47727.764999999999</v>
      </c>
      <c r="I11" s="208">
        <f>I10*(1+(Inputs!Y$8/20))</f>
        <v>52500.541499999999</v>
      </c>
      <c r="J11" s="41">
        <v>0</v>
      </c>
      <c r="K11" s="41">
        <v>0</v>
      </c>
      <c r="L11" s="41">
        <v>0</v>
      </c>
      <c r="M11" s="41">
        <v>0</v>
      </c>
      <c r="O11" s="13"/>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s="14"/>
    </row>
    <row r="12" spans="1:62" x14ac:dyDescent="0.35">
      <c r="A12" s="1">
        <f>IF(A11&lt;'Project Information'!B$11,A11+1,"")</f>
        <v>2034</v>
      </c>
      <c r="B12" s="208">
        <f>B11*(1+(Inputs!X$6/20))</f>
        <v>5379287.7713399995</v>
      </c>
      <c r="C12" s="208">
        <f>C11*(1+(Inputs!Y$6/20))</f>
        <v>5379287.7713399995</v>
      </c>
      <c r="D12" s="41">
        <v>0</v>
      </c>
      <c r="E12" s="41">
        <v>0</v>
      </c>
      <c r="F12" s="208">
        <f>F11*(1+(Inputs!X$7/20))</f>
        <v>476857.97482499998</v>
      </c>
      <c r="G12" s="208">
        <f>G11*(1+(Inputs!Y$7/20))</f>
        <v>524543.77230750013</v>
      </c>
      <c r="H12" s="208">
        <f>H11*(1+(Inputs!X$8/20))</f>
        <v>47823.220529999999</v>
      </c>
      <c r="I12" s="208">
        <f>I11*(1+(Inputs!Y$8/20))</f>
        <v>52605.542583000002</v>
      </c>
      <c r="J12" s="41">
        <v>0</v>
      </c>
      <c r="K12" s="41">
        <v>0</v>
      </c>
      <c r="L12" s="41">
        <v>0</v>
      </c>
      <c r="M12" s="41">
        <v>0</v>
      </c>
      <c r="O12" s="13"/>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s="14"/>
    </row>
    <row r="13" spans="1:62" x14ac:dyDescent="0.35">
      <c r="A13" s="1">
        <f>IF(A12&lt;'Project Information'!B$11,A12+1,"")</f>
        <v>2035</v>
      </c>
      <c r="B13" s="208">
        <f>B12*(1+(Inputs!X$6/20))</f>
        <v>5390046.3468826795</v>
      </c>
      <c r="C13" s="208">
        <f>C12*(1+(Inputs!Y$6/20))</f>
        <v>5390046.3468826795</v>
      </c>
      <c r="D13" s="41">
        <v>0</v>
      </c>
      <c r="E13" s="41">
        <v>0</v>
      </c>
      <c r="F13" s="208">
        <f>F12*(1+(Inputs!X$7/20))</f>
        <v>477811.69077464996</v>
      </c>
      <c r="G13" s="208">
        <f>G12*(1+(Inputs!Y$7/20))</f>
        <v>525592.85985211516</v>
      </c>
      <c r="H13" s="208">
        <f>H12*(1+(Inputs!X$8/20))</f>
        <v>47918.866971060001</v>
      </c>
      <c r="I13" s="208">
        <f>I12*(1+(Inputs!Y$8/20))</f>
        <v>52710.753668166006</v>
      </c>
      <c r="J13" s="41">
        <v>0</v>
      </c>
      <c r="K13" s="41">
        <v>0</v>
      </c>
      <c r="L13" s="41">
        <v>0</v>
      </c>
      <c r="M13" s="41">
        <v>0</v>
      </c>
      <c r="O13" s="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s="14"/>
    </row>
    <row r="14" spans="1:62" x14ac:dyDescent="0.35">
      <c r="A14" s="1">
        <f>IF(A13&lt;'Project Information'!B$11,A13+1,"")</f>
        <v>2036</v>
      </c>
      <c r="B14" s="208">
        <f>B13*(1+(Inputs!X$6/20))</f>
        <v>5400826.4395764451</v>
      </c>
      <c r="C14" s="208">
        <f>C13*(1+(Inputs!Y$6/20))</f>
        <v>5400826.4395764451</v>
      </c>
      <c r="D14" s="41">
        <v>0</v>
      </c>
      <c r="E14" s="41">
        <v>0</v>
      </c>
      <c r="F14" s="208">
        <f>F13*(1+(Inputs!X$7/20))</f>
        <v>478767.31415619928</v>
      </c>
      <c r="G14" s="208">
        <f>G13*(1+(Inputs!Y$7/20))</f>
        <v>526644.04557181941</v>
      </c>
      <c r="H14" s="208">
        <f>H13*(1+(Inputs!X$8/20))</f>
        <v>48014.704705002121</v>
      </c>
      <c r="I14" s="208">
        <f>I13*(1+(Inputs!Y$8/20))</f>
        <v>52816.175175502336</v>
      </c>
      <c r="J14" s="41">
        <v>0</v>
      </c>
      <c r="K14" s="41">
        <v>0</v>
      </c>
      <c r="L14" s="41">
        <v>0</v>
      </c>
      <c r="M14" s="41">
        <v>0</v>
      </c>
      <c r="O14" s="13"/>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s="14"/>
    </row>
    <row r="15" spans="1:62" x14ac:dyDescent="0.35">
      <c r="A15" s="1">
        <f>IF(A14&lt;'Project Information'!B$11,A14+1,"")</f>
        <v>2037</v>
      </c>
      <c r="B15" s="208">
        <f>B14*(1+(Inputs!X$6/20))</f>
        <v>5411628.0924555976</v>
      </c>
      <c r="C15" s="208">
        <f>C14*(1+(Inputs!Y$6/20))</f>
        <v>5411628.0924555976</v>
      </c>
      <c r="D15" s="41">
        <v>0</v>
      </c>
      <c r="E15" s="41">
        <v>0</v>
      </c>
      <c r="F15" s="208">
        <f>F14*(1+(Inputs!X$7/20))</f>
        <v>479724.84878451168</v>
      </c>
      <c r="G15" s="208">
        <f>G14*(1+(Inputs!Y$7/20))</f>
        <v>527697.33366296301</v>
      </c>
      <c r="H15" s="208">
        <f>H14*(1+(Inputs!X$8/20))</f>
        <v>48110.734114412124</v>
      </c>
      <c r="I15" s="208">
        <f>I14*(1+(Inputs!Y$8/20))</f>
        <v>52921.807525853343</v>
      </c>
      <c r="J15" s="41">
        <v>0</v>
      </c>
      <c r="K15" s="41">
        <v>0</v>
      </c>
      <c r="L15" s="41">
        <v>0</v>
      </c>
      <c r="M15" s="41">
        <v>0</v>
      </c>
      <c r="O15" s="13"/>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s="14"/>
    </row>
    <row r="16" spans="1:62" x14ac:dyDescent="0.35">
      <c r="A16" s="1">
        <f>IF(A15&lt;'Project Information'!B$11,A15+1,"")</f>
        <v>2038</v>
      </c>
      <c r="B16" s="208">
        <f>B15*(1+(Inputs!X$6/20))</f>
        <v>5422451.3486405089</v>
      </c>
      <c r="C16" s="208">
        <f>C15*(1+(Inputs!Y$6/20))</f>
        <v>5422451.3486405089</v>
      </c>
      <c r="D16" s="41">
        <v>0</v>
      </c>
      <c r="E16" s="41">
        <v>0</v>
      </c>
      <c r="F16" s="208">
        <f>F15*(1+(Inputs!X$7/20))</f>
        <v>480684.29848208069</v>
      </c>
      <c r="G16" s="208">
        <f>G15*(1+(Inputs!Y$7/20))</f>
        <v>528752.7283302889</v>
      </c>
      <c r="H16" s="208">
        <f>H15*(1+(Inputs!X$8/20))</f>
        <v>48206.955582640949</v>
      </c>
      <c r="I16" s="208">
        <f>I15*(1+(Inputs!Y$8/20))</f>
        <v>53027.651140905051</v>
      </c>
      <c r="J16" s="41">
        <v>0</v>
      </c>
      <c r="K16" s="41">
        <v>0</v>
      </c>
      <c r="L16" s="41">
        <v>0</v>
      </c>
      <c r="M16" s="41">
        <v>0</v>
      </c>
      <c r="O16" s="1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s="14"/>
    </row>
    <row r="17" spans="1:62" x14ac:dyDescent="0.35">
      <c r="A17" s="1">
        <f>IF(A16&lt;'Project Information'!B$11,A16+1,"")</f>
        <v>2039</v>
      </c>
      <c r="B17" s="208">
        <f>B16*(1+(Inputs!X$6/20))</f>
        <v>5433296.2513377899</v>
      </c>
      <c r="C17" s="208">
        <f>C16*(1+(Inputs!Y$6/20))</f>
        <v>5433296.2513377899</v>
      </c>
      <c r="D17" s="41">
        <v>0</v>
      </c>
      <c r="E17" s="41">
        <v>0</v>
      </c>
      <c r="F17" s="208">
        <f>F16*(1+(Inputs!X$7/20))</f>
        <v>481645.66707904486</v>
      </c>
      <c r="G17" s="208">
        <f>G16*(1+(Inputs!Y$7/20))</f>
        <v>529810.23378694942</v>
      </c>
      <c r="H17" s="208">
        <f>H16*(1+(Inputs!X$8/20))</f>
        <v>48303.369493806233</v>
      </c>
      <c r="I17" s="208">
        <f>I16*(1+(Inputs!Y$8/20))</f>
        <v>53133.706443186864</v>
      </c>
      <c r="J17" s="41">
        <v>0</v>
      </c>
      <c r="K17" s="41">
        <v>0</v>
      </c>
      <c r="L17" s="41">
        <v>0</v>
      </c>
      <c r="M17" s="41">
        <v>0</v>
      </c>
      <c r="O17" s="13"/>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s="14"/>
    </row>
    <row r="18" spans="1:62" x14ac:dyDescent="0.35">
      <c r="A18" s="1">
        <f>IF(A17&lt;'Project Information'!B$11,A17+1,"")</f>
        <v>2040</v>
      </c>
      <c r="B18" s="208">
        <f>B17*(1+(Inputs!X$6/20))</f>
        <v>5444162.8438404659</v>
      </c>
      <c r="C18" s="208">
        <f>C17*(1+(Inputs!Y$6/20))</f>
        <v>5444162.8438404659</v>
      </c>
      <c r="D18" s="41">
        <v>0</v>
      </c>
      <c r="E18" s="41">
        <v>0</v>
      </c>
      <c r="F18" s="208">
        <f>F17*(1+(Inputs!X$7/20))</f>
        <v>482608.95841320296</v>
      </c>
      <c r="G18" s="208">
        <f>G17*(1+(Inputs!Y$7/20))</f>
        <v>530869.85425452329</v>
      </c>
      <c r="H18" s="208">
        <f>H17*(1+(Inputs!X$8/20))</f>
        <v>48399.976232793844</v>
      </c>
      <c r="I18" s="208">
        <f>I17*(1+(Inputs!Y$8/20))</f>
        <v>53239.973856073237</v>
      </c>
      <c r="J18" s="41">
        <v>0</v>
      </c>
      <c r="K18" s="41">
        <v>0</v>
      </c>
      <c r="L18" s="41">
        <v>0</v>
      </c>
      <c r="M18" s="41">
        <v>0</v>
      </c>
      <c r="O18" s="1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s="14"/>
    </row>
    <row r="19" spans="1:62" x14ac:dyDescent="0.35">
      <c r="A19" s="1">
        <f>IF(A18&lt;'Project Information'!B$11,A18+1,"")</f>
        <v>2041</v>
      </c>
      <c r="B19" s="208">
        <f>B18*(1+(Inputs!X$6/20))</f>
        <v>5455051.1695281472</v>
      </c>
      <c r="C19" s="208">
        <f>C18*(1+(Inputs!Y$6/20))</f>
        <v>5455051.1695281472</v>
      </c>
      <c r="D19" s="41">
        <v>0</v>
      </c>
      <c r="E19" s="41">
        <v>0</v>
      </c>
      <c r="F19" s="208">
        <f>F18*(1+(Inputs!X$7/20))</f>
        <v>483574.17633002938</v>
      </c>
      <c r="G19" s="208">
        <f>G18*(1+(Inputs!Y$7/20))</f>
        <v>531931.59396303236</v>
      </c>
      <c r="H19" s="208">
        <f>H18*(1+(Inputs!X$8/20))</f>
        <v>48496.776185259434</v>
      </c>
      <c r="I19" s="208">
        <f>I18*(1+(Inputs!Y$8/20))</f>
        <v>53346.453803785385</v>
      </c>
      <c r="J19" s="41">
        <v>0</v>
      </c>
      <c r="K19" s="41">
        <v>0</v>
      </c>
      <c r="L19" s="41">
        <v>0</v>
      </c>
      <c r="M19" s="41">
        <v>0</v>
      </c>
      <c r="O19" s="1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s="14"/>
    </row>
    <row r="20" spans="1:62" x14ac:dyDescent="0.35">
      <c r="A20" s="1">
        <f>IF(A19&lt;'Project Information'!B$11,A19+1,"")</f>
        <v>2042</v>
      </c>
      <c r="B20" s="208">
        <f>B19*(1+(Inputs!X$6/20))</f>
        <v>5465961.2718672035</v>
      </c>
      <c r="C20" s="208">
        <f>C19*(1+(Inputs!Y$6/20))</f>
        <v>5465961.2718672035</v>
      </c>
      <c r="D20" s="41">
        <v>0</v>
      </c>
      <c r="E20" s="41">
        <v>0</v>
      </c>
      <c r="F20" s="208">
        <f>F19*(1+(Inputs!X$7/20))</f>
        <v>484541.32468268945</v>
      </c>
      <c r="G20" s="208">
        <f>G19*(1+(Inputs!Y$7/20))</f>
        <v>532995.45715095848</v>
      </c>
      <c r="H20" s="208">
        <f>H19*(1+(Inputs!X$8/20))</f>
        <v>48593.769737629955</v>
      </c>
      <c r="I20" s="208">
        <f>I19*(1+(Inputs!Y$8/20))</f>
        <v>53453.146711392954</v>
      </c>
      <c r="J20" s="41">
        <v>0</v>
      </c>
      <c r="K20" s="41">
        <v>0</v>
      </c>
      <c r="L20" s="41">
        <v>0</v>
      </c>
      <c r="M20" s="41">
        <v>0</v>
      </c>
      <c r="O20" s="1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s="14"/>
    </row>
    <row r="21" spans="1:62" x14ac:dyDescent="0.35">
      <c r="A21" s="1">
        <f>IF(A20&lt;'Project Information'!B$11,A20+1,"")</f>
        <v>2043</v>
      </c>
      <c r="B21" s="208">
        <f>B20*(1+(Inputs!X$6/20))</f>
        <v>5476893.1944109378</v>
      </c>
      <c r="C21" s="208">
        <f>C20*(1+(Inputs!Y$6/20))</f>
        <v>5476893.1944109378</v>
      </c>
      <c r="D21" s="41">
        <v>0</v>
      </c>
      <c r="E21" s="41">
        <v>0</v>
      </c>
      <c r="F21" s="208">
        <f>F20*(1+(Inputs!X$7/20))</f>
        <v>485510.40733205481</v>
      </c>
      <c r="G21" s="208">
        <f>G20*(1+(Inputs!Y$7/20))</f>
        <v>534061.44806526043</v>
      </c>
      <c r="H21" s="208">
        <f>H20*(1+(Inputs!X$8/20))</f>
        <v>48690.957277105212</v>
      </c>
      <c r="I21" s="208">
        <f>I20*(1+(Inputs!Y$8/20))</f>
        <v>53560.053004815738</v>
      </c>
      <c r="J21" s="41">
        <v>0</v>
      </c>
      <c r="K21" s="41">
        <v>0</v>
      </c>
      <c r="L21" s="41">
        <v>0</v>
      </c>
      <c r="M21" s="41">
        <v>0</v>
      </c>
      <c r="O21" s="1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s="14"/>
    </row>
    <row r="22" spans="1:62" x14ac:dyDescent="0.35">
      <c r="A22" s="1">
        <f>IF(A21&lt;'Project Information'!B$11,A21+1,"")</f>
        <v>2044</v>
      </c>
      <c r="B22" s="208">
        <f>B21*(1+(Inputs!X$6/20))</f>
        <v>5487846.9807997597</v>
      </c>
      <c r="C22" s="208">
        <f>C21*(1+(Inputs!Y$6/20))</f>
        <v>5487846.9807997597</v>
      </c>
      <c r="D22" s="41">
        <v>0</v>
      </c>
      <c r="E22" s="41">
        <v>0</v>
      </c>
      <c r="F22" s="208">
        <f>F21*(1+(Inputs!X$7/20))</f>
        <v>486481.42814671894</v>
      </c>
      <c r="G22" s="208">
        <f>G21*(1+(Inputs!Y$7/20))</f>
        <v>535129.57096139097</v>
      </c>
      <c r="H22" s="208">
        <f>H21*(1+(Inputs!X$8/20))</f>
        <v>48788.339191659419</v>
      </c>
      <c r="I22" s="208">
        <f>I21*(1+(Inputs!Y$8/20))</f>
        <v>53667.173110825366</v>
      </c>
      <c r="J22" s="41">
        <v>0</v>
      </c>
      <c r="K22" s="41">
        <v>0</v>
      </c>
      <c r="L22" s="41">
        <v>0</v>
      </c>
      <c r="M22" s="41">
        <v>0</v>
      </c>
      <c r="O22" s="1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s="14"/>
    </row>
    <row r="23" spans="1:62" x14ac:dyDescent="0.35">
      <c r="A23" s="1">
        <f>IF(A22&lt;'Project Information'!B$11,A22+1,"")</f>
        <v>2045</v>
      </c>
      <c r="B23" s="208">
        <f>B22*(1+(Inputs!X$6/20))</f>
        <v>5498822.6747613596</v>
      </c>
      <c r="C23" s="208">
        <f>C22*(1+(Inputs!Y$6/20))</f>
        <v>5498822.6747613596</v>
      </c>
      <c r="D23" s="41">
        <v>0</v>
      </c>
      <c r="E23" s="41">
        <v>0</v>
      </c>
      <c r="F23" s="208">
        <f>F22*(1+(Inputs!X$7/20))</f>
        <v>487454.39100301237</v>
      </c>
      <c r="G23" s="208">
        <f>G22*(1+(Inputs!Y$7/20))</f>
        <v>536199.83010331378</v>
      </c>
      <c r="H23" s="208">
        <f>H22*(1+(Inputs!X$8/20))</f>
        <v>48885.915870042736</v>
      </c>
      <c r="I23" s="208">
        <f>I22*(1+(Inputs!Y$8/20))</f>
        <v>53774.507457047017</v>
      </c>
      <c r="J23" s="41">
        <v>0</v>
      </c>
      <c r="K23" s="41">
        <v>0</v>
      </c>
      <c r="L23" s="41">
        <v>0</v>
      </c>
      <c r="M23" s="41">
        <v>0</v>
      </c>
      <c r="O23" s="1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s="14"/>
    </row>
    <row r="24" spans="1:62" x14ac:dyDescent="0.35">
      <c r="A24" s="1">
        <f>IF(A23&lt;'Project Information'!B$11,A23+1,"")</f>
        <v>2046</v>
      </c>
      <c r="B24" s="208">
        <f>B23*(1+(Inputs!X$6/20))</f>
        <v>5509820.3201108826</v>
      </c>
      <c r="C24" s="208">
        <f>C23*(1+(Inputs!Y$6/20))</f>
        <v>5509820.3201108826</v>
      </c>
      <c r="D24" s="41">
        <v>0</v>
      </c>
      <c r="E24" s="41">
        <v>0</v>
      </c>
      <c r="F24" s="208">
        <f>F23*(1+(Inputs!X$7/20))</f>
        <v>488429.29978501837</v>
      </c>
      <c r="G24" s="208">
        <f>G23*(1+(Inputs!Y$7/20))</f>
        <v>537272.22976352042</v>
      </c>
      <c r="H24" s="208">
        <f>H23*(1+(Inputs!X$8/20))</f>
        <v>48983.687701782823</v>
      </c>
      <c r="I24" s="208">
        <f>I23*(1+(Inputs!Y$8/20))</f>
        <v>53882.056471961114</v>
      </c>
      <c r="J24" s="41">
        <v>0</v>
      </c>
      <c r="K24" s="41">
        <v>0</v>
      </c>
      <c r="L24" s="41">
        <v>0</v>
      </c>
      <c r="M24" s="41">
        <v>0</v>
      </c>
      <c r="O24" s="13"/>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s="14"/>
    </row>
    <row r="25" spans="1:62" x14ac:dyDescent="0.35">
      <c r="A25" s="1">
        <f>IF(A24&lt;'Project Information'!B$11,A24+1,"")</f>
        <v>2047</v>
      </c>
      <c r="B25" s="208">
        <f>B24*(1+(Inputs!X$6/20))</f>
        <v>5520839.9607511042</v>
      </c>
      <c r="C25" s="208">
        <f>C24*(1+(Inputs!Y$6/20))</f>
        <v>5520839.9607511042</v>
      </c>
      <c r="D25" s="41">
        <v>0</v>
      </c>
      <c r="E25" s="41">
        <v>0</v>
      </c>
      <c r="F25" s="208">
        <f>F24*(1+(Inputs!X$7/20))</f>
        <v>489406.15838458843</v>
      </c>
      <c r="G25" s="208">
        <f>G24*(1+(Inputs!Y$7/20))</f>
        <v>538346.77422304743</v>
      </c>
      <c r="H25" s="208">
        <f>H24*(1+(Inputs!X$8/20))</f>
        <v>49081.655077186391</v>
      </c>
      <c r="I25" s="208">
        <f>I24*(1+(Inputs!Y$8/20))</f>
        <v>53989.820584905036</v>
      </c>
      <c r="J25" s="41">
        <v>0</v>
      </c>
      <c r="K25" s="41">
        <v>0</v>
      </c>
      <c r="L25" s="41">
        <v>0</v>
      </c>
      <c r="M25" s="41">
        <v>0</v>
      </c>
      <c r="O25" s="13"/>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s="14"/>
    </row>
    <row r="26" spans="1:62" x14ac:dyDescent="0.35">
      <c r="A26" s="1">
        <f>IF(A25&lt;'Project Information'!B$11,A25+1,"")</f>
        <v>2048</v>
      </c>
      <c r="B26" s="208">
        <f>B25*(1+(Inputs!X$6/20))</f>
        <v>5531881.6406726064</v>
      </c>
      <c r="C26" s="208">
        <f>C25*(1+(Inputs!Y$6/20))</f>
        <v>5531881.6406726064</v>
      </c>
      <c r="D26" s="41">
        <v>0</v>
      </c>
      <c r="E26" s="41">
        <v>0</v>
      </c>
      <c r="F26" s="208">
        <f>F25*(1+(Inputs!X$7/20))</f>
        <v>490384.97070135758</v>
      </c>
      <c r="G26" s="208">
        <f>G25*(1+(Inputs!Y$7/20))</f>
        <v>539423.46777149348</v>
      </c>
      <c r="H26" s="208">
        <f>H25*(1+(Inputs!X$8/20))</f>
        <v>49179.818387340762</v>
      </c>
      <c r="I26" s="208">
        <f>I25*(1+(Inputs!Y$8/20))</f>
        <v>54097.800226074847</v>
      </c>
      <c r="J26" s="41">
        <v>0</v>
      </c>
      <c r="K26" s="41">
        <v>0</v>
      </c>
      <c r="L26" s="41">
        <v>0</v>
      </c>
      <c r="M26" s="41">
        <v>0</v>
      </c>
      <c r="O26" s="13"/>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s="14"/>
    </row>
    <row r="27" spans="1:62" x14ac:dyDescent="0.35">
      <c r="A27" s="1">
        <f>IF(A26&lt;'Project Information'!B$11,A26+1,"")</f>
        <v>2049</v>
      </c>
      <c r="B27" s="208">
        <f>B26*(1+(Inputs!X$6/20))</f>
        <v>5542945.4039539518</v>
      </c>
      <c r="C27" s="208">
        <f>C26*(1+(Inputs!Y$6/20))</f>
        <v>5542945.4039539518</v>
      </c>
      <c r="D27" s="41">
        <v>0</v>
      </c>
      <c r="E27" s="41">
        <v>0</v>
      </c>
      <c r="F27" s="208">
        <f>F26*(1+(Inputs!X$7/20))</f>
        <v>491365.7406427603</v>
      </c>
      <c r="G27" s="208">
        <f>G26*(1+(Inputs!Y$7/20))</f>
        <v>540502.31470703648</v>
      </c>
      <c r="H27" s="208">
        <f>H26*(1+(Inputs!X$8/20))</f>
        <v>49278.178024115441</v>
      </c>
      <c r="I27" s="208">
        <f>I26*(1+(Inputs!Y$8/20))</f>
        <v>54205.995826526996</v>
      </c>
      <c r="J27" s="41">
        <v>0</v>
      </c>
      <c r="K27" s="41">
        <v>0</v>
      </c>
      <c r="L27" s="41">
        <v>0</v>
      </c>
      <c r="M27" s="41">
        <v>0</v>
      </c>
      <c r="O27" s="13"/>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s="14"/>
    </row>
    <row r="28" spans="1:62" x14ac:dyDescent="0.35">
      <c r="A28" s="1">
        <f>IF(A27&lt;'Project Information'!B$11,A27+1,"")</f>
        <v>2050</v>
      </c>
      <c r="B28" s="208">
        <f>B27*(1+(Inputs!X$6/20))</f>
        <v>5554031.2947618598</v>
      </c>
      <c r="C28" s="208">
        <f>C27*(1+(Inputs!Y$6/20))</f>
        <v>5554031.2947618598</v>
      </c>
      <c r="D28" s="41">
        <v>0</v>
      </c>
      <c r="E28" s="41">
        <v>0</v>
      </c>
      <c r="F28" s="208">
        <f>F27*(1+(Inputs!X$7/20))</f>
        <v>492348.47212404583</v>
      </c>
      <c r="G28" s="208">
        <f>G27*(1+(Inputs!Y$7/20))</f>
        <v>541583.31933645054</v>
      </c>
      <c r="H28" s="208">
        <f>H27*(1+(Inputs!X$8/20))</f>
        <v>49376.734380163674</v>
      </c>
      <c r="I28" s="208">
        <f>I27*(1+(Inputs!Y$8/20))</f>
        <v>54314.407818180051</v>
      </c>
      <c r="J28" s="41">
        <v>0</v>
      </c>
      <c r="K28" s="41">
        <v>0</v>
      </c>
      <c r="L28" s="41">
        <v>0</v>
      </c>
      <c r="M28" s="41">
        <v>0</v>
      </c>
      <c r="O28" s="13"/>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s="14"/>
    </row>
    <row r="29" spans="1:62" x14ac:dyDescent="0.35">
      <c r="A29" s="1">
        <f>IF(A28&lt;'Project Information'!B$11,A28+1,"")</f>
        <v>2051</v>
      </c>
      <c r="B29" s="208">
        <f>B28*(1+(Inputs!X$6/20))</f>
        <v>5565139.3573513832</v>
      </c>
      <c r="C29" s="208">
        <f>C28*(1+(Inputs!Y$6/20))</f>
        <v>5565139.3573513832</v>
      </c>
      <c r="D29" s="41">
        <v>0</v>
      </c>
      <c r="E29" s="41">
        <v>0</v>
      </c>
      <c r="F29" s="208">
        <f>F28*(1+(Inputs!X$7/20))</f>
        <v>493333.16906829394</v>
      </c>
      <c r="G29" s="208">
        <f>G28*(1+(Inputs!Y$7/20))</f>
        <v>542666.48597512348</v>
      </c>
      <c r="H29" s="208">
        <f>H28*(1+(Inputs!X$8/20))</f>
        <v>49475.487848924</v>
      </c>
      <c r="I29" s="208">
        <f>I28*(1+(Inputs!Y$8/20))</f>
        <v>54423.036633816409</v>
      </c>
      <c r="J29" s="41">
        <v>0</v>
      </c>
      <c r="K29" s="41">
        <v>0</v>
      </c>
      <c r="L29" s="41">
        <v>0</v>
      </c>
      <c r="M29" s="41">
        <v>0</v>
      </c>
      <c r="O29" s="13"/>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s="14"/>
    </row>
    <row r="30" spans="1:62" x14ac:dyDescent="0.35">
      <c r="A30" s="1" t="str">
        <f>IF(A29&lt;'Project Information'!B$11,A29+1,"")</f>
        <v/>
      </c>
      <c r="B30" s="41">
        <v>0</v>
      </c>
      <c r="C30" s="41">
        <v>0</v>
      </c>
      <c r="D30" s="41">
        <v>0</v>
      </c>
      <c r="E30" s="41">
        <v>0</v>
      </c>
      <c r="F30" s="41">
        <v>0</v>
      </c>
      <c r="G30" s="41">
        <v>0</v>
      </c>
      <c r="H30" s="41">
        <v>0</v>
      </c>
      <c r="I30" s="41">
        <v>0</v>
      </c>
      <c r="J30" s="41">
        <v>0</v>
      </c>
      <c r="K30" s="41">
        <v>0</v>
      </c>
      <c r="L30" s="41">
        <v>0</v>
      </c>
      <c r="M30" s="41">
        <v>0</v>
      </c>
      <c r="O30" s="13"/>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s="14"/>
    </row>
    <row r="31" spans="1:62" x14ac:dyDescent="0.35">
      <c r="A31" s="1" t="str">
        <f>IF(A30&lt;'Project Information'!B$11,A30+1,"")</f>
        <v/>
      </c>
      <c r="B31" s="41">
        <v>0</v>
      </c>
      <c r="C31" s="41">
        <v>0</v>
      </c>
      <c r="D31" s="41">
        <v>0</v>
      </c>
      <c r="E31" s="41">
        <v>0</v>
      </c>
      <c r="F31" s="41">
        <v>0</v>
      </c>
      <c r="G31" s="41">
        <v>0</v>
      </c>
      <c r="H31" s="41">
        <v>0</v>
      </c>
      <c r="I31" s="41">
        <v>0</v>
      </c>
      <c r="J31" s="41">
        <v>0</v>
      </c>
      <c r="K31" s="41">
        <v>0</v>
      </c>
      <c r="L31" s="41">
        <v>0</v>
      </c>
      <c r="M31" s="41">
        <v>0</v>
      </c>
      <c r="O31" s="13"/>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s="14"/>
    </row>
    <row r="32" spans="1:62" x14ac:dyDescent="0.35">
      <c r="A32" s="1" t="str">
        <f>IF(A31&lt;'Project Information'!B$11,A31+1,"")</f>
        <v/>
      </c>
      <c r="B32" s="41">
        <v>0</v>
      </c>
      <c r="C32" s="41">
        <v>0</v>
      </c>
      <c r="D32" s="41">
        <v>0</v>
      </c>
      <c r="E32" s="41">
        <v>0</v>
      </c>
      <c r="F32" s="41">
        <v>0</v>
      </c>
      <c r="G32" s="41">
        <v>0</v>
      </c>
      <c r="H32" s="41">
        <v>0</v>
      </c>
      <c r="I32" s="41">
        <v>0</v>
      </c>
      <c r="J32" s="41">
        <v>0</v>
      </c>
      <c r="K32" s="41">
        <v>0</v>
      </c>
      <c r="L32" s="41">
        <v>0</v>
      </c>
      <c r="M32" s="41">
        <v>0</v>
      </c>
      <c r="O32" s="13"/>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s="14"/>
    </row>
    <row r="33" spans="1:62" x14ac:dyDescent="0.35">
      <c r="A33" s="1" t="str">
        <f>IF(A32&lt;'Project Information'!B$11,A32+1,"")</f>
        <v/>
      </c>
      <c r="B33" s="41">
        <v>0</v>
      </c>
      <c r="C33" s="41">
        <v>0</v>
      </c>
      <c r="D33" s="41">
        <v>0</v>
      </c>
      <c r="E33" s="41">
        <v>0</v>
      </c>
      <c r="F33" s="41">
        <v>0</v>
      </c>
      <c r="G33" s="41">
        <v>0</v>
      </c>
      <c r="H33" s="41">
        <v>0</v>
      </c>
      <c r="I33" s="41">
        <v>0</v>
      </c>
      <c r="J33" s="41">
        <v>0</v>
      </c>
      <c r="K33" s="41">
        <v>0</v>
      </c>
      <c r="L33" s="41">
        <v>0</v>
      </c>
      <c r="M33" s="41">
        <v>0</v>
      </c>
      <c r="O33" s="1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s="14"/>
    </row>
    <row r="34" spans="1:62" x14ac:dyDescent="0.35">
      <c r="A34" s="1" t="str">
        <f>IF(A33&lt;'Project Information'!B$11,A33+1,"")</f>
        <v/>
      </c>
      <c r="B34" s="41">
        <v>0</v>
      </c>
      <c r="C34" s="41">
        <v>0</v>
      </c>
      <c r="D34" s="41">
        <v>0</v>
      </c>
      <c r="E34" s="41">
        <v>0</v>
      </c>
      <c r="F34" s="41">
        <v>0</v>
      </c>
      <c r="G34" s="41">
        <v>0</v>
      </c>
      <c r="H34" s="41">
        <v>0</v>
      </c>
      <c r="I34" s="41">
        <v>0</v>
      </c>
      <c r="J34" s="41">
        <v>0</v>
      </c>
      <c r="K34" s="41">
        <v>0</v>
      </c>
      <c r="L34" s="41">
        <v>0</v>
      </c>
      <c r="M34" s="41">
        <v>0</v>
      </c>
      <c r="O34" s="13"/>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s="14"/>
    </row>
    <row r="35" spans="1:62" x14ac:dyDescent="0.35">
      <c r="A35" s="1" t="str">
        <f>IF(A34&lt;'Project Information'!B$11,A34+1,"")</f>
        <v/>
      </c>
      <c r="B35" s="41">
        <v>0</v>
      </c>
      <c r="C35" s="41">
        <v>0</v>
      </c>
      <c r="D35" s="41">
        <v>0</v>
      </c>
      <c r="E35" s="41">
        <v>0</v>
      </c>
      <c r="F35" s="41">
        <v>0</v>
      </c>
      <c r="G35" s="41">
        <v>0</v>
      </c>
      <c r="H35" s="41">
        <v>0</v>
      </c>
      <c r="I35" s="41">
        <v>0</v>
      </c>
      <c r="J35" s="41">
        <v>0</v>
      </c>
      <c r="K35" s="41">
        <v>0</v>
      </c>
      <c r="L35" s="41">
        <v>0</v>
      </c>
      <c r="M35" s="41">
        <v>0</v>
      </c>
      <c r="O35" s="13"/>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s="14"/>
    </row>
    <row r="36" spans="1:62" x14ac:dyDescent="0.35">
      <c r="A36" s="1" t="str">
        <f>IF(A35&lt;'Project Information'!B$11,A35+1,"")</f>
        <v/>
      </c>
      <c r="B36" s="41">
        <v>0</v>
      </c>
      <c r="C36" s="41">
        <v>0</v>
      </c>
      <c r="D36" s="41">
        <v>0</v>
      </c>
      <c r="E36" s="41">
        <v>0</v>
      </c>
      <c r="F36" s="41">
        <v>0</v>
      </c>
      <c r="G36" s="41">
        <v>0</v>
      </c>
      <c r="H36" s="41">
        <v>0</v>
      </c>
      <c r="I36" s="41">
        <v>0</v>
      </c>
      <c r="J36" s="41">
        <v>0</v>
      </c>
      <c r="K36" s="41">
        <v>0</v>
      </c>
      <c r="L36" s="41">
        <v>0</v>
      </c>
      <c r="M36" s="41">
        <v>0</v>
      </c>
      <c r="O36" s="13"/>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s="14"/>
    </row>
    <row r="37" spans="1:62" x14ac:dyDescent="0.35">
      <c r="A37" s="1" t="str">
        <f>IF(A36&lt;'Project Information'!B$11,A36+1,"")</f>
        <v/>
      </c>
      <c r="B37" s="41">
        <v>0</v>
      </c>
      <c r="C37" s="41">
        <v>0</v>
      </c>
      <c r="D37" s="41">
        <v>0</v>
      </c>
      <c r="E37" s="41">
        <v>0</v>
      </c>
      <c r="F37" s="41">
        <v>0</v>
      </c>
      <c r="G37" s="41">
        <v>0</v>
      </c>
      <c r="H37" s="41">
        <v>0</v>
      </c>
      <c r="I37" s="41">
        <v>0</v>
      </c>
      <c r="J37" s="41">
        <v>0</v>
      </c>
      <c r="K37" s="41">
        <v>0</v>
      </c>
      <c r="L37" s="41">
        <v>0</v>
      </c>
      <c r="M37" s="41">
        <v>0</v>
      </c>
      <c r="O37" s="13"/>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s="14"/>
    </row>
    <row r="38" spans="1:62" x14ac:dyDescent="0.35">
      <c r="A38" s="1" t="str">
        <f>IF(A37&lt;'Project Information'!B$11,A37+1,"")</f>
        <v/>
      </c>
      <c r="B38" s="41">
        <v>0</v>
      </c>
      <c r="C38" s="41">
        <v>0</v>
      </c>
      <c r="D38" s="41">
        <v>0</v>
      </c>
      <c r="E38" s="41">
        <v>0</v>
      </c>
      <c r="F38" s="41">
        <v>0</v>
      </c>
      <c r="G38" s="41">
        <v>0</v>
      </c>
      <c r="H38" s="41">
        <v>0</v>
      </c>
      <c r="I38" s="41">
        <v>0</v>
      </c>
      <c r="J38" s="41">
        <v>0</v>
      </c>
      <c r="K38" s="41">
        <v>0</v>
      </c>
      <c r="L38" s="41">
        <v>0</v>
      </c>
      <c r="M38" s="41">
        <v>0</v>
      </c>
      <c r="O38" s="13"/>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s="14"/>
    </row>
    <row r="39" spans="1:62" x14ac:dyDescent="0.35">
      <c r="A39" s="1" t="str">
        <f>IF(A38&lt;'Project Information'!B$11,A38+1,"")</f>
        <v/>
      </c>
      <c r="B39" s="41">
        <v>0</v>
      </c>
      <c r="C39" s="41">
        <v>0</v>
      </c>
      <c r="D39" s="41">
        <v>0</v>
      </c>
      <c r="E39" s="41">
        <v>0</v>
      </c>
      <c r="F39" s="41">
        <v>0</v>
      </c>
      <c r="G39" s="41">
        <v>0</v>
      </c>
      <c r="H39" s="41">
        <v>0</v>
      </c>
      <c r="I39" s="41">
        <v>0</v>
      </c>
      <c r="J39" s="41">
        <v>0</v>
      </c>
      <c r="K39" s="41">
        <v>0</v>
      </c>
      <c r="L39" s="41">
        <v>0</v>
      </c>
      <c r="M39" s="41">
        <v>0</v>
      </c>
      <c r="O39" s="13"/>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s="14"/>
    </row>
    <row r="40" spans="1:62" s="5" customFormat="1" x14ac:dyDescent="0.35">
      <c r="O40" s="147"/>
      <c r="BJ40" s="148"/>
    </row>
    <row r="41" spans="1:62" s="5" customFormat="1" x14ac:dyDescent="0.35">
      <c r="O41" s="147"/>
      <c r="BJ41" s="148"/>
    </row>
    <row r="42" spans="1:62" s="5" customFormat="1" x14ac:dyDescent="0.35">
      <c r="O42" s="147"/>
      <c r="BJ42" s="148"/>
    </row>
    <row r="43" spans="1:62" s="5" customFormat="1" x14ac:dyDescent="0.35">
      <c r="O43" s="147"/>
      <c r="BJ43" s="148"/>
    </row>
    <row r="44" spans="1:62" s="5" customFormat="1" x14ac:dyDescent="0.35">
      <c r="O44" s="147"/>
      <c r="BJ44" s="148"/>
    </row>
    <row r="45" spans="1:62" s="5" customFormat="1" x14ac:dyDescent="0.35">
      <c r="O45" s="147"/>
      <c r="BJ45" s="148"/>
    </row>
    <row r="46" spans="1:62" s="5" customFormat="1" x14ac:dyDescent="0.35">
      <c r="O46" s="147"/>
      <c r="BJ46" s="148"/>
    </row>
    <row r="47" spans="1:62" s="5" customFormat="1" x14ac:dyDescent="0.35">
      <c r="O47" s="147"/>
      <c r="BJ47" s="148"/>
    </row>
    <row r="48" spans="1:62" s="5" customFormat="1" ht="15" thickBot="1" x14ac:dyDescent="0.4">
      <c r="O48" s="149"/>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1"/>
    </row>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sheetData>
  <mergeCells count="6">
    <mergeCell ref="L8:M8"/>
    <mergeCell ref="B8:C8"/>
    <mergeCell ref="D8:E8"/>
    <mergeCell ref="F8:G8"/>
    <mergeCell ref="H8:I8"/>
    <mergeCell ref="J8:K8"/>
  </mergeCells>
  <conditionalFormatting sqref="B10:M39">
    <cfRule type="expression" dxfId="20" priority="1">
      <formula>$A10=""</formula>
    </cfRule>
  </conditionalFormatting>
  <hyperlinks>
    <hyperlink ref="P10" location="Inputs!A1" display="See Inputs tab for User Volume detail" xr:uid="{2BA2ECBE-E721-4ACE-86B4-B7D76CBBBDA2}"/>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zoomScale="115" zoomScaleNormal="115" workbookViewId="0"/>
  </sheetViews>
  <sheetFormatPr defaultColWidth="9.1796875" defaultRowHeight="14.5" x14ac:dyDescent="0.35"/>
  <cols>
    <col min="1" max="1" width="28.81640625" style="5" customWidth="1"/>
    <col min="2" max="2" width="39.54296875" style="5" bestFit="1" customWidth="1"/>
    <col min="3" max="3" width="30.1796875" style="5" customWidth="1"/>
    <col min="4" max="16384" width="9.1796875" style="5"/>
  </cols>
  <sheetData>
    <row r="1" spans="1:52" ht="20" thickBot="1" x14ac:dyDescent="0.5">
      <c r="A1" s="96" t="s">
        <v>219</v>
      </c>
    </row>
    <row r="2" spans="1:52" ht="15" thickTop="1" x14ac:dyDescent="0.35">
      <c r="A2" s="153" t="s">
        <v>181</v>
      </c>
      <c r="B2" s="152"/>
      <c r="C2" s="152"/>
      <c r="D2" s="152"/>
      <c r="E2" s="152"/>
      <c r="F2" s="152"/>
      <c r="G2" s="152"/>
      <c r="H2" s="152"/>
      <c r="I2" s="152"/>
    </row>
    <row r="3" spans="1:52" x14ac:dyDescent="0.35">
      <c r="A3" s="38" t="s">
        <v>205</v>
      </c>
    </row>
    <row r="4" spans="1:52" x14ac:dyDescent="0.35">
      <c r="A4" s="119">
        <v>3.1E-2</v>
      </c>
      <c r="B4" s="5" t="s">
        <v>334</v>
      </c>
    </row>
    <row r="5" spans="1:52" x14ac:dyDescent="0.35">
      <c r="A5" s="120">
        <v>0</v>
      </c>
      <c r="B5" s="5" t="s">
        <v>355</v>
      </c>
    </row>
    <row r="6" spans="1:52" x14ac:dyDescent="0.35">
      <c r="A6" s="29" t="s">
        <v>205</v>
      </c>
    </row>
    <row r="7" spans="1:52" ht="15" thickBot="1" x14ac:dyDescent="0.4">
      <c r="A7" s="97" t="s">
        <v>256</v>
      </c>
    </row>
    <row r="8" spans="1:52" x14ac:dyDescent="0.35">
      <c r="A8" s="115" t="s">
        <v>4</v>
      </c>
      <c r="B8" s="113" t="s">
        <v>157</v>
      </c>
      <c r="C8" s="108" t="s">
        <v>356</v>
      </c>
      <c r="E8" s="10" t="s">
        <v>161</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x14ac:dyDescent="0.35">
      <c r="A9" s="30">
        <f>'Project Information'!B7</f>
        <v>2029</v>
      </c>
      <c r="B9" s="22">
        <f>Inputs!Y33</f>
        <v>7675000</v>
      </c>
      <c r="C9" s="8">
        <f>B9/(1+$A$4)^(A9-Overview!$B$22)</f>
        <v>6390375.7102952981</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5">
      <c r="A10" s="1">
        <f>IF(A9&lt;$A$9+'Project Information'!$B$8-1,A9+1,"")</f>
        <v>2030</v>
      </c>
      <c r="B10" s="22">
        <f>Inputs!Y34</f>
        <v>15350000</v>
      </c>
      <c r="C10" s="8">
        <f>IFERROR(B10/(1+$A$4)^(A10-Overview!$B$22),0)</f>
        <v>12396461.125694081</v>
      </c>
      <c r="E10" s="13"/>
      <c r="F10" s="246" t="s">
        <v>464</v>
      </c>
      <c r="G10" s="245"/>
      <c r="H10" s="245"/>
      <c r="I10" s="245"/>
      <c r="J10" s="245"/>
      <c r="K10" s="245"/>
      <c r="L10" s="245"/>
      <c r="M10" s="245"/>
      <c r="N10" s="245"/>
      <c r="O10" s="245"/>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5">
      <c r="A11" s="1">
        <f>IF(A10&lt;$A$9+'Project Information'!$B$8-1,A10+1,"")</f>
        <v>2031</v>
      </c>
      <c r="B11" s="22">
        <f>Inputs!Y35</f>
        <v>7675000</v>
      </c>
      <c r="C11" s="8">
        <f>IFERROR(B11/(1+$A$4)^(A11-Overview!$B$22),0)</f>
        <v>6011862.8155645402</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5">
      <c r="A12" s="1" t="str">
        <f>IF(A11&lt;$A$9+'Project Information'!$B$8-1,A11+1,"")</f>
        <v/>
      </c>
      <c r="B12" s="22">
        <v>0</v>
      </c>
      <c r="C12" s="8">
        <f>IFERROR(B12/(1+$A$4)^(A12-Overview!$B$22),0)</f>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5">
      <c r="A13" s="1" t="str">
        <f>IF(A12&lt;$A$9+'Project Information'!$B$8-1,A12+1,"")</f>
        <v/>
      </c>
      <c r="B13" s="22">
        <v>0</v>
      </c>
      <c r="C13" s="8">
        <f>IFERROR(B13/(1+$A$4)^(A13-Overview!$B$22),0)</f>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5">
      <c r="A14" s="1" t="str">
        <f>IF(A13&lt;$A$9+'Project Information'!$B$8-1,A13+1,"")</f>
        <v/>
      </c>
      <c r="B14" s="22">
        <v>0</v>
      </c>
      <c r="C14" s="8">
        <f>IFERROR(B14/(1+$A$4)^(A14-Overview!$B$22),0)</f>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5">
      <c r="A15" s="1" t="str">
        <f>IF(A14&lt;$A$9+'Project Information'!$B$8-1,A14+1,"")</f>
        <v/>
      </c>
      <c r="B15" s="22">
        <v>0</v>
      </c>
      <c r="C15" s="8">
        <f>IFERROR(B15/(1+$A$4)^(A15-Overview!$B$22),0)</f>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5">
      <c r="A16" s="1" t="str">
        <f>IF(A15&lt;$A$9+'Project Information'!$B$8-1,A15+1,"")</f>
        <v/>
      </c>
      <c r="B16" s="22">
        <v>0</v>
      </c>
      <c r="C16" s="8">
        <f>IFERROR(B16/(1+$A$4)^(A16-Overview!$B$22),0)</f>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5">
      <c r="A17" s="1" t="str">
        <f>IF(A16&lt;$A$9+'Project Information'!$B$8-1,A16+1,"")</f>
        <v/>
      </c>
      <c r="B17" s="22">
        <v>0</v>
      </c>
      <c r="C17" s="8">
        <f>IFERROR(B17/(1+$A$4)^(A17-Overview!$B$22),0)</f>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5">
      <c r="A18" s="1" t="str">
        <f>IF(A17&lt;$A$9+'Project Information'!$B$8-1,A17+1,"")</f>
        <v/>
      </c>
      <c r="B18" s="22">
        <v>0</v>
      </c>
      <c r="C18" s="8">
        <f>IFERROR(B18/(1+$A$4)^(A18-Overview!$B$22),0)</f>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5">
      <c r="A19" s="1" t="str">
        <f>IF(A18&lt;$A$9+'Project Information'!$B$8-1,A18+1,"")</f>
        <v/>
      </c>
      <c r="B19" s="22">
        <v>0</v>
      </c>
      <c r="C19" s="8">
        <f>IFERROR(B19/(1+$A$4)^(A19-Overview!$B$22),0)</f>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5">
      <c r="A20" s="1" t="str">
        <f>IF(A19&lt;$A$9+'Project Information'!$B$8-1,A19+1,"")</f>
        <v/>
      </c>
      <c r="B20" s="22">
        <v>0</v>
      </c>
      <c r="C20" s="8">
        <f>IFERROR(B20/(1+$A$4)^(A20-Overview!$B$22),0)</f>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5">
      <c r="A21" s="1" t="str">
        <f>IF(A20&lt;$A$9+'Project Information'!$B$8-1,A20+1,"")</f>
        <v/>
      </c>
      <c r="B21" s="22">
        <v>0</v>
      </c>
      <c r="C21" s="8">
        <f>IFERROR(B21/(1+$A$4)^(A21-Overview!$B$22),0)</f>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5">
      <c r="A22" s="1" t="str">
        <f>IF(A21&lt;$A$9+'Project Information'!$B$8-1,A21+1,"")</f>
        <v/>
      </c>
      <c r="B22" s="22">
        <v>0</v>
      </c>
      <c r="C22" s="8">
        <f>IFERROR(B22/(1+$A$4)^(A22-Overview!$B$22),0)</f>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5">
      <c r="A23" s="1" t="str">
        <f>IF(A22&lt;$A$9+'Project Information'!$B$8-1,A22+1,"")</f>
        <v/>
      </c>
      <c r="B23" s="22">
        <v>0</v>
      </c>
      <c r="C23" s="8">
        <f>IFERROR(B23/(1+$A$4)^(A23-Overview!$B$22),0)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5">
      <c r="A24" s="31"/>
      <c r="B24" s="32"/>
      <c r="C24" s="3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5">
      <c r="B25" s="28"/>
      <c r="C25" s="29"/>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5">
      <c r="B26" s="28"/>
      <c r="C26" s="29"/>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5">
      <c r="B27" s="28"/>
      <c r="C27" s="29"/>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5">
      <c r="B28" s="28"/>
      <c r="C28" s="29"/>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5">
      <c r="B29" s="28"/>
      <c r="C29" s="29"/>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5">
      <c r="B30" s="28"/>
      <c r="C30" s="29"/>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5">
      <c r="B31" s="28"/>
      <c r="C31" s="29"/>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5">
      <c r="B32" s="28"/>
      <c r="C32" s="29"/>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2:52" x14ac:dyDescent="0.35">
      <c r="B33" s="28"/>
      <c r="C33" s="29"/>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2:52" x14ac:dyDescent="0.35">
      <c r="B34" s="28"/>
      <c r="C34" s="29"/>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2:52" x14ac:dyDescent="0.35">
      <c r="B35" s="28"/>
      <c r="C35" s="29"/>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2:52" x14ac:dyDescent="0.35">
      <c r="B36" s="28"/>
      <c r="C36" s="29"/>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2:52" x14ac:dyDescent="0.35">
      <c r="B37" s="28"/>
      <c r="C37" s="29"/>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x14ac:dyDescent="0.35">
      <c r="B38" s="28"/>
      <c r="C38" s="29"/>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x14ac:dyDescent="0.35">
      <c r="B39" s="28"/>
      <c r="C39" s="29"/>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35">
      <c r="B40" s="28"/>
      <c r="C40" s="29"/>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35">
      <c r="B41" s="28"/>
      <c r="C41" s="29"/>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35">
      <c r="B42" s="28"/>
      <c r="C42" s="29"/>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35">
      <c r="B43" s="28"/>
      <c r="C43" s="29"/>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35">
      <c r="B44" s="28"/>
      <c r="C44" s="29"/>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35">
      <c r="B45" s="28"/>
      <c r="C45" s="29"/>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35">
      <c r="B46" s="28"/>
      <c r="C46" s="29"/>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35">
      <c r="B47" s="28"/>
      <c r="C47" s="29"/>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 thickBot="1" x14ac:dyDescent="0.4">
      <c r="B48" s="28"/>
      <c r="C48" s="29"/>
      <c r="E48" s="1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conditionalFormatting sqref="B9:B23">
    <cfRule type="expression" dxfId="19" priority="1">
      <formula>A9=""</formula>
    </cfRule>
  </conditionalFormatting>
  <hyperlinks>
    <hyperlink ref="F10" location="Inputs!A1" display="See Inputs tab for User Volume detail" xr:uid="{C0F4A44B-9EBC-4EBA-AFDD-57507AE192C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7"/>
  <sheetViews>
    <sheetView zoomScaleNormal="100" workbookViewId="0"/>
  </sheetViews>
  <sheetFormatPr defaultColWidth="9.1796875" defaultRowHeight="14.5" x14ac:dyDescent="0.35"/>
  <cols>
    <col min="1" max="1" width="28.54296875" style="5" customWidth="1"/>
    <col min="2" max="2" width="42" style="5" customWidth="1"/>
    <col min="3" max="3" width="37.81640625" style="5" customWidth="1"/>
    <col min="4" max="4" width="46.54296875" style="5" customWidth="1"/>
    <col min="5" max="16384" width="9.1796875" style="5"/>
  </cols>
  <sheetData>
    <row r="1" spans="1:54" ht="20" thickBot="1" x14ac:dyDescent="0.5">
      <c r="A1" s="96" t="s">
        <v>222</v>
      </c>
    </row>
    <row r="2" spans="1:54" ht="15" thickTop="1" x14ac:dyDescent="0.35">
      <c r="A2" s="153" t="s">
        <v>357</v>
      </c>
      <c r="B2" s="152"/>
      <c r="C2" s="152"/>
      <c r="D2" s="152"/>
      <c r="E2" s="152"/>
    </row>
    <row r="3" spans="1:54" x14ac:dyDescent="0.35">
      <c r="A3" s="5" t="s">
        <v>205</v>
      </c>
    </row>
    <row r="4" spans="1:54" x14ac:dyDescent="0.35">
      <c r="A4" s="153" t="s">
        <v>319</v>
      </c>
      <c r="B4" s="153"/>
      <c r="C4" s="153"/>
      <c r="D4" s="153"/>
      <c r="E4" s="153"/>
      <c r="F4" s="153"/>
    </row>
    <row r="5" spans="1:54" x14ac:dyDescent="0.35">
      <c r="A5" s="5" t="s">
        <v>205</v>
      </c>
    </row>
    <row r="6" spans="1:54" ht="15" thickBot="1" x14ac:dyDescent="0.4">
      <c r="A6" s="97" t="s">
        <v>255</v>
      </c>
    </row>
    <row r="7" spans="1:54" x14ac:dyDescent="0.35">
      <c r="A7" s="107" t="s">
        <v>4</v>
      </c>
      <c r="B7" s="108" t="s">
        <v>171</v>
      </c>
      <c r="C7" s="108" t="s">
        <v>172</v>
      </c>
      <c r="D7" s="108" t="s">
        <v>163</v>
      </c>
      <c r="G7" s="10" t="s">
        <v>161</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2"/>
    </row>
    <row r="8" spans="1:54" x14ac:dyDescent="0.35">
      <c r="A8" s="6">
        <f>'Project Information'!$B$9</f>
        <v>2032</v>
      </c>
      <c r="B8" s="22">
        <v>601053.20108956716</v>
      </c>
      <c r="C8" s="22">
        <v>15000</v>
      </c>
      <c r="D8" s="26">
        <f>C8-B8</f>
        <v>-586053.20108956716</v>
      </c>
      <c r="G8" s="13"/>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4"/>
    </row>
    <row r="9" spans="1:54" x14ac:dyDescent="0.35">
      <c r="A9" s="1">
        <f>IF(A8&lt;'Project Information'!B$11,A8+1,"")</f>
        <v>2033</v>
      </c>
      <c r="B9" s="22">
        <v>104084.79712225415</v>
      </c>
      <c r="C9" s="22">
        <v>15000</v>
      </c>
      <c r="D9" s="8">
        <f t="shared" ref="D9:D37" si="0">C9-B9</f>
        <v>-89084.797122254153</v>
      </c>
      <c r="G9" s="13"/>
      <c r="H9" s="244" t="s">
        <v>480</v>
      </c>
      <c r="I9" s="245"/>
      <c r="J9" s="245"/>
      <c r="K9" s="245"/>
      <c r="L9" s="245"/>
      <c r="M9" s="245"/>
      <c r="N9" s="245"/>
      <c r="O9" s="245"/>
      <c r="P9" s="245"/>
      <c r="Q9" s="245"/>
      <c r="R9" s="245"/>
      <c r="S9" s="245"/>
      <c r="T9"/>
      <c r="U9"/>
      <c r="V9"/>
      <c r="W9"/>
      <c r="X9"/>
      <c r="Y9"/>
      <c r="Z9"/>
      <c r="AA9"/>
      <c r="AB9"/>
      <c r="AC9"/>
      <c r="AD9"/>
      <c r="AE9"/>
      <c r="AF9"/>
      <c r="AG9"/>
      <c r="AH9"/>
      <c r="AI9"/>
      <c r="AJ9"/>
      <c r="AK9"/>
      <c r="AL9"/>
      <c r="AM9"/>
      <c r="AN9"/>
      <c r="AO9"/>
      <c r="AP9"/>
      <c r="AQ9"/>
      <c r="AR9"/>
      <c r="AS9"/>
      <c r="AT9"/>
      <c r="AU9"/>
      <c r="AV9"/>
      <c r="AW9"/>
      <c r="AX9"/>
      <c r="AY9"/>
      <c r="AZ9"/>
      <c r="BA9"/>
      <c r="BB9" s="14"/>
    </row>
    <row r="10" spans="1:54" x14ac:dyDescent="0.35">
      <c r="A10" s="1">
        <f>IF(A9&lt;'Project Information'!B$11,A9+1,"")</f>
        <v>2034</v>
      </c>
      <c r="B10" s="22">
        <v>107207.34103592178</v>
      </c>
      <c r="C10" s="22">
        <v>15000</v>
      </c>
      <c r="D10" s="8">
        <f t="shared" si="0"/>
        <v>-92207.341035921781</v>
      </c>
      <c r="G10" s="13"/>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4"/>
    </row>
    <row r="11" spans="1:54" x14ac:dyDescent="0.35">
      <c r="A11" s="1">
        <f>IF(A10&lt;'Project Information'!B$11,A10+1,"")</f>
        <v>2035</v>
      </c>
      <c r="B11" s="22">
        <v>110423.56126699944</v>
      </c>
      <c r="C11" s="22">
        <v>15000</v>
      </c>
      <c r="D11" s="8">
        <f t="shared" si="0"/>
        <v>-95423.561266999444</v>
      </c>
      <c r="G11" s="13"/>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4"/>
    </row>
    <row r="12" spans="1:54" x14ac:dyDescent="0.35">
      <c r="A12" s="1">
        <f>IF(A11&lt;'Project Information'!B$11,A11+1,"")</f>
        <v>2036</v>
      </c>
      <c r="B12" s="22">
        <v>113736.26810500943</v>
      </c>
      <c r="C12" s="22">
        <v>15000</v>
      </c>
      <c r="D12" s="8">
        <f t="shared" si="0"/>
        <v>-98736.268105009425</v>
      </c>
      <c r="G12" s="13"/>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4"/>
    </row>
    <row r="13" spans="1:54" x14ac:dyDescent="0.35">
      <c r="A13" s="1">
        <f>IF(A12&lt;'Project Information'!B$11,A12+1,"")</f>
        <v>2037</v>
      </c>
      <c r="B13" s="22">
        <v>117148.35614815968</v>
      </c>
      <c r="C13" s="22">
        <v>20000</v>
      </c>
      <c r="D13" s="8">
        <f t="shared" si="0"/>
        <v>-97148.356148159684</v>
      </c>
      <c r="G13" s="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4"/>
    </row>
    <row r="14" spans="1:54" x14ac:dyDescent="0.35">
      <c r="A14" s="1">
        <f>IF(A13&lt;'Project Information'!B$11,A13+1,"")</f>
        <v>2038</v>
      </c>
      <c r="B14" s="22">
        <v>120662.80683260447</v>
      </c>
      <c r="C14" s="22">
        <v>20000</v>
      </c>
      <c r="D14" s="8">
        <f t="shared" si="0"/>
        <v>-100662.80683260447</v>
      </c>
      <c r="G14" s="13"/>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4"/>
    </row>
    <row r="15" spans="1:54" x14ac:dyDescent="0.35">
      <c r="A15" s="1">
        <f>IF(A14&lt;'Project Information'!B$11,A14+1,"")</f>
        <v>2039</v>
      </c>
      <c r="B15" s="22">
        <v>124282.69103758263</v>
      </c>
      <c r="C15" s="22">
        <v>20000</v>
      </c>
      <c r="D15" s="8">
        <f t="shared" si="0"/>
        <v>-104282.69103758263</v>
      </c>
      <c r="G15" s="13"/>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4"/>
    </row>
    <row r="16" spans="1:54" x14ac:dyDescent="0.35">
      <c r="A16" s="1">
        <f>IF(A15&lt;'Project Information'!B$11,A15+1,"")</f>
        <v>2040</v>
      </c>
      <c r="B16" s="22">
        <v>128011.1717687101</v>
      </c>
      <c r="C16" s="22">
        <v>20000</v>
      </c>
      <c r="D16" s="8">
        <f t="shared" si="0"/>
        <v>-108011.1717687101</v>
      </c>
      <c r="G16" s="13"/>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4"/>
    </row>
    <row r="17" spans="1:54" x14ac:dyDescent="0.35">
      <c r="A17" s="1">
        <f>IF(A16&lt;'Project Information'!B$11,A16+1,"")</f>
        <v>2041</v>
      </c>
      <c r="B17" s="22">
        <v>131851.50692177139</v>
      </c>
      <c r="C17" s="22">
        <v>20000</v>
      </c>
      <c r="D17" s="8">
        <f t="shared" si="0"/>
        <v>-111851.50692177139</v>
      </c>
      <c r="G17" s="13"/>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4"/>
    </row>
    <row r="18" spans="1:54" x14ac:dyDescent="0.35">
      <c r="A18" s="1">
        <f>IF(A17&lt;'Project Information'!B$11,A17+1,"")</f>
        <v>2042</v>
      </c>
      <c r="B18" s="22">
        <v>135807.05212942453</v>
      </c>
      <c r="C18" s="22">
        <v>25000</v>
      </c>
      <c r="D18" s="8">
        <f t="shared" si="0"/>
        <v>-110807.05212942453</v>
      </c>
      <c r="G18" s="13"/>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4"/>
    </row>
    <row r="19" spans="1:54" x14ac:dyDescent="0.35">
      <c r="A19" s="1">
        <f>IF(A18&lt;'Project Information'!B$11,A18+1,"")</f>
        <v>2043</v>
      </c>
      <c r="B19" s="22">
        <v>139881.26369330726</v>
      </c>
      <c r="C19" s="22">
        <v>25000</v>
      </c>
      <c r="D19" s="8">
        <f t="shared" si="0"/>
        <v>-114881.26369330726</v>
      </c>
      <c r="G19" s="13"/>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4"/>
    </row>
    <row r="20" spans="1:54" x14ac:dyDescent="0.35">
      <c r="A20" s="1">
        <f>IF(A19&lt;'Project Information'!B$11,A19+1,"")</f>
        <v>2044</v>
      </c>
      <c r="B20" s="22">
        <v>144077.70160410649</v>
      </c>
      <c r="C20" s="22">
        <v>25000</v>
      </c>
      <c r="D20" s="8">
        <f t="shared" si="0"/>
        <v>-119077.70160410649</v>
      </c>
      <c r="G20" s="13"/>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35">
      <c r="A21" s="1">
        <f>IF(A20&lt;'Project Information'!B$11,A20+1,"")</f>
        <v>2045</v>
      </c>
      <c r="B21" s="22">
        <v>148400.03265222968</v>
      </c>
      <c r="C21" s="22">
        <v>25000</v>
      </c>
      <c r="D21" s="8">
        <f t="shared" si="0"/>
        <v>-123400.03265222968</v>
      </c>
      <c r="G21" s="13"/>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35">
      <c r="A22" s="1">
        <f>IF(A21&lt;'Project Information'!B$11,A21+1,"")</f>
        <v>2046</v>
      </c>
      <c r="B22" s="22">
        <v>2810610.1974818832</v>
      </c>
      <c r="C22" s="22">
        <v>25000</v>
      </c>
      <c r="D22" s="8">
        <f t="shared" si="0"/>
        <v>-2785610.1974818832</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35">
      <c r="A23" s="1">
        <f>IF(A22&lt;'Project Information'!B$11,A22+1,"")</f>
        <v>2047</v>
      </c>
      <c r="B23" s="22">
        <v>157437.59464075047</v>
      </c>
      <c r="C23" s="22">
        <v>30000</v>
      </c>
      <c r="D23" s="8">
        <f t="shared" si="0"/>
        <v>-127437.59464075047</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35">
      <c r="A24" s="1">
        <f>IF(A23&lt;'Project Information'!B$11,A23+1,"")</f>
        <v>2048</v>
      </c>
      <c r="B24" s="22">
        <v>162160.72247997299</v>
      </c>
      <c r="C24" s="22">
        <v>30000</v>
      </c>
      <c r="D24" s="8">
        <f t="shared" si="0"/>
        <v>-132160.72247997299</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35">
      <c r="A25" s="1">
        <f>IF(A24&lt;'Project Information'!B$11,A24+1,"")</f>
        <v>2049</v>
      </c>
      <c r="B25" s="22">
        <v>167025.54415437215</v>
      </c>
      <c r="C25" s="22">
        <v>30000</v>
      </c>
      <c r="D25" s="8">
        <f t="shared" si="0"/>
        <v>-137025.54415437215</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35">
      <c r="A26" s="1">
        <f>IF(A25&lt;'Project Information'!B$11,A25+1,"")</f>
        <v>2050</v>
      </c>
      <c r="B26" s="22">
        <v>172036.3104790033</v>
      </c>
      <c r="C26" s="22">
        <v>30000</v>
      </c>
      <c r="D26" s="8">
        <f t="shared" si="0"/>
        <v>-142036.3104790033</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5">
      <c r="A27" s="1">
        <f>IF(A26&lt;'Project Information'!B$11,A26+1,"")</f>
        <v>2051</v>
      </c>
      <c r="B27" s="22">
        <v>177197.39979337342</v>
      </c>
      <c r="C27" s="22">
        <v>30000</v>
      </c>
      <c r="D27" s="8">
        <f t="shared" si="0"/>
        <v>-147197.39979337342</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5">
      <c r="A28" s="1" t="str">
        <f>IF(A27&lt;'Project Information'!B$11,A27+1,"")</f>
        <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5">
      <c r="A29" s="1" t="str">
        <f>IF(A28&lt;'Project Information'!B$11,A28+1,"")</f>
        <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5">
      <c r="A30" s="1" t="str">
        <f>IF(A29&lt;'Project Information'!B$11,A29+1,"")</f>
        <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5">
      <c r="A31" s="1" t="str">
        <f>IF(A30&lt;'Project Information'!B$11,A30+1,"")</f>
        <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5">
      <c r="A32" s="1" t="str">
        <f>IF(A31&lt;'Project Information'!B$11,A31+1,"")</f>
        <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5">
      <c r="A33" s="1" t="str">
        <f>IF(A32&lt;'Project Information'!B$11,A32+1,"")</f>
        <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5">
      <c r="A34" s="1" t="str">
        <f>IF(A33&lt;'Project Information'!B$11,A33+1,"")</f>
        <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5">
      <c r="A35" s="1" t="str">
        <f>IF(A34&lt;'Project Information'!B$11,A34+1,"")</f>
        <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5">
      <c r="A36" s="1" t="str">
        <f>IF(A35&lt;'Project Information'!B$11,A35+1,"")</f>
        <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5">
      <c r="A37" s="1" t="str">
        <f>IF(A36&lt;'Project Information'!B$11,A36+1,"")</f>
        <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5">
      <c r="A38" s="31"/>
      <c r="B38" s="32"/>
      <c r="C38" s="32"/>
      <c r="D38" s="33"/>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5">
      <c r="B39" s="28"/>
      <c r="C39" s="28"/>
      <c r="D39" s="29"/>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5">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5">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5">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5">
      <c r="B43" s="28"/>
      <c r="C43" s="28"/>
      <c r="D43" s="29"/>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5">
      <c r="B44" s="28"/>
      <c r="C44" s="28"/>
      <c r="D44" s="29"/>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5">
      <c r="B45" s="28"/>
      <c r="C45" s="28"/>
      <c r="D45" s="29"/>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5">
      <c r="B46" s="28"/>
      <c r="C46" s="28"/>
      <c r="D46" s="29"/>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5">
      <c r="B47" s="28"/>
      <c r="C47" s="28"/>
      <c r="D47" s="29"/>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5">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7:54" x14ac:dyDescent="0.35">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7:54" x14ac:dyDescent="0.35">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7:54" x14ac:dyDescent="0.35">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7:54" x14ac:dyDescent="0.35">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7:54" x14ac:dyDescent="0.35">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7:54" x14ac:dyDescent="0.35">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7:54" x14ac:dyDescent="0.35">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7:54" x14ac:dyDescent="0.35">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7:54" x14ac:dyDescent="0.35">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7:54" x14ac:dyDescent="0.35">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7:54" x14ac:dyDescent="0.35">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7:54" x14ac:dyDescent="0.3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7:54" x14ac:dyDescent="0.3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7:54" x14ac:dyDescent="0.3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7:54" x14ac:dyDescent="0.3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7:54" x14ac:dyDescent="0.3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3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3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3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3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3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3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3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3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3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3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3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3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3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3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3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3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ht="15" thickBot="1" x14ac:dyDescent="0.4">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7"/>
    </row>
  </sheetData>
  <conditionalFormatting sqref="B8:B37">
    <cfRule type="expression" dxfId="18" priority="2">
      <formula>A8=""</formula>
    </cfRule>
  </conditionalFormatting>
  <conditionalFormatting sqref="C8:C37">
    <cfRule type="expression" dxfId="17" priority="1">
      <formula>A8=""</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B111"/>
  <sheetViews>
    <sheetView workbookViewId="0"/>
  </sheetViews>
  <sheetFormatPr defaultColWidth="9.1796875" defaultRowHeight="14.5" x14ac:dyDescent="0.35"/>
  <cols>
    <col min="1" max="1" width="38.453125" style="5" customWidth="1"/>
    <col min="2" max="2" width="25.26953125" style="5" customWidth="1"/>
    <col min="3" max="3" width="32.54296875" style="5" customWidth="1"/>
    <col min="4" max="4" width="22.7265625" style="5" customWidth="1"/>
    <col min="5" max="7" width="9.1796875" style="5"/>
    <col min="8" max="8" width="18.90625" style="5" customWidth="1"/>
    <col min="9" max="9" width="18" style="5" bestFit="1" customWidth="1"/>
    <col min="10" max="10" width="9.7265625" style="5" bestFit="1" customWidth="1"/>
    <col min="11" max="11" width="11" style="5" bestFit="1" customWidth="1"/>
    <col min="12" max="12" width="18" style="5" bestFit="1" customWidth="1"/>
    <col min="13" max="13" width="11.1796875" style="5" bestFit="1" customWidth="1"/>
    <col min="14" max="14" width="140.26953125" style="5" bestFit="1" customWidth="1"/>
    <col min="15" max="15" width="19.08984375" style="5" bestFit="1" customWidth="1"/>
    <col min="16" max="16" width="30.54296875" style="5" bestFit="1" customWidth="1"/>
    <col min="17" max="17" width="22.7265625" style="5" bestFit="1" customWidth="1"/>
    <col min="18" max="16384" width="9.1796875" style="5"/>
  </cols>
  <sheetData>
    <row r="1" spans="1:9" ht="20" thickBot="1" x14ac:dyDescent="0.5">
      <c r="A1" s="96" t="s">
        <v>8</v>
      </c>
    </row>
    <row r="2" spans="1:9" ht="15" thickTop="1" x14ac:dyDescent="0.35">
      <c r="A2" s="152" t="s">
        <v>245</v>
      </c>
      <c r="B2" s="152"/>
      <c r="C2" s="152"/>
      <c r="D2" s="152"/>
      <c r="E2" s="152"/>
      <c r="F2" s="152"/>
    </row>
    <row r="3" spans="1:9" x14ac:dyDescent="0.35">
      <c r="A3" s="5" t="s">
        <v>205</v>
      </c>
    </row>
    <row r="4" spans="1:9" x14ac:dyDescent="0.35">
      <c r="A4" s="153" t="s">
        <v>357</v>
      </c>
      <c r="B4" s="152"/>
      <c r="C4" s="152"/>
      <c r="D4" s="152"/>
      <c r="E4" s="152"/>
      <c r="F4" s="152"/>
      <c r="G4" s="152"/>
      <c r="H4" s="152"/>
      <c r="I4" s="152"/>
    </row>
    <row r="5" spans="1:9" x14ac:dyDescent="0.35">
      <c r="A5" s="38" t="s">
        <v>205</v>
      </c>
    </row>
    <row r="6" spans="1:9" x14ac:dyDescent="0.35">
      <c r="A6" s="97" t="s">
        <v>246</v>
      </c>
    </row>
    <row r="7" spans="1:9" x14ac:dyDescent="0.35">
      <c r="A7" s="116" t="s">
        <v>22</v>
      </c>
      <c r="B7" s="116" t="str">
        <f>'Parameter Values'!B6</f>
        <v>Monetized Value (2023 $)</v>
      </c>
    </row>
    <row r="8" spans="1:9" x14ac:dyDescent="0.35">
      <c r="A8" s="35" t="s">
        <v>23</v>
      </c>
      <c r="B8" s="40">
        <f>'Parameter Values'!B7</f>
        <v>5300</v>
      </c>
    </row>
    <row r="9" spans="1:9" x14ac:dyDescent="0.35">
      <c r="A9" s="35" t="s">
        <v>24</v>
      </c>
      <c r="B9" s="40">
        <f>'Parameter Values'!B8</f>
        <v>118000</v>
      </c>
    </row>
    <row r="10" spans="1:9" x14ac:dyDescent="0.35">
      <c r="A10" s="35" t="s">
        <v>25</v>
      </c>
      <c r="B10" s="40">
        <f>'Parameter Values'!B9</f>
        <v>246900</v>
      </c>
    </row>
    <row r="11" spans="1:9" x14ac:dyDescent="0.35">
      <c r="A11" s="35" t="s">
        <v>26</v>
      </c>
      <c r="B11" s="40">
        <f>'Parameter Values'!B10</f>
        <v>1254700</v>
      </c>
    </row>
    <row r="12" spans="1:9" x14ac:dyDescent="0.35">
      <c r="A12" s="35" t="s">
        <v>27</v>
      </c>
      <c r="B12" s="40">
        <f>'Parameter Values'!B11</f>
        <v>13200000</v>
      </c>
    </row>
    <row r="13" spans="1:9" x14ac:dyDescent="0.35">
      <c r="A13" s="35" t="s">
        <v>28</v>
      </c>
      <c r="B13" s="40">
        <f>'Parameter Values'!B12</f>
        <v>229800</v>
      </c>
    </row>
    <row r="14" spans="1:9" x14ac:dyDescent="0.35">
      <c r="A14" s="129" t="s">
        <v>205</v>
      </c>
      <c r="B14" s="130"/>
    </row>
    <row r="15" spans="1:9" x14ac:dyDescent="0.35">
      <c r="A15" s="35" t="s">
        <v>29</v>
      </c>
    </row>
    <row r="16" spans="1:9" x14ac:dyDescent="0.35">
      <c r="A16" s="35" t="s">
        <v>267</v>
      </c>
      <c r="B16" s="40">
        <f>'Parameter Values'!B15</f>
        <v>9500</v>
      </c>
    </row>
    <row r="17" spans="1:54" x14ac:dyDescent="0.35">
      <c r="A17" s="35" t="s">
        <v>30</v>
      </c>
      <c r="B17" s="40">
        <f>'Parameter Values'!B16</f>
        <v>329500</v>
      </c>
    </row>
    <row r="18" spans="1:54" x14ac:dyDescent="0.35">
      <c r="A18" s="35" t="s">
        <v>31</v>
      </c>
      <c r="B18" s="40">
        <f>'Parameter Values'!B17</f>
        <v>14806000</v>
      </c>
    </row>
    <row r="19" spans="1:54" x14ac:dyDescent="0.35">
      <c r="A19" s="5" t="s">
        <v>205</v>
      </c>
    </row>
    <row r="20" spans="1:54" ht="15" thickBot="1" x14ac:dyDescent="0.4">
      <c r="A20" s="97" t="s">
        <v>247</v>
      </c>
    </row>
    <row r="21" spans="1:54" x14ac:dyDescent="0.35">
      <c r="A21" s="107" t="s">
        <v>4</v>
      </c>
      <c r="B21" s="108" t="s">
        <v>173</v>
      </c>
      <c r="C21" s="108" t="s">
        <v>174</v>
      </c>
      <c r="D21" s="114" t="s">
        <v>168</v>
      </c>
      <c r="G21" s="10" t="s">
        <v>161</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2"/>
    </row>
    <row r="22" spans="1:54" x14ac:dyDescent="0.35">
      <c r="A22" s="6">
        <f>'Project Information'!$B$9</f>
        <v>2032</v>
      </c>
      <c r="B22" s="22">
        <f>J35</f>
        <v>1641700</v>
      </c>
      <c r="C22" s="22">
        <f>M35</f>
        <v>952300</v>
      </c>
      <c r="D22" s="26">
        <f>B22-C22</f>
        <v>689400</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35">
      <c r="A23" s="1">
        <f>IF(A22&lt;'Project Information'!B$11,A22+1,"")</f>
        <v>2033</v>
      </c>
      <c r="B23" s="22">
        <f>B22*(1+(Inputs!X$6/20))</f>
        <v>1644983.4</v>
      </c>
      <c r="C23" s="22">
        <f>C22*(1+(Inputs!Y$6/20))</f>
        <v>954204.6</v>
      </c>
      <c r="D23" s="8">
        <f t="shared" ref="D23:D51" si="0">B23-C23</f>
        <v>690778.79999999993</v>
      </c>
      <c r="G23" s="13"/>
      <c r="H23" s="244" t="s">
        <v>458</v>
      </c>
      <c r="I23" s="244"/>
      <c r="J23" s="245"/>
      <c r="K23" s="245"/>
      <c r="L23" s="245"/>
      <c r="M23" s="245"/>
      <c r="N23" s="245"/>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35">
      <c r="A24" s="1">
        <f>IF(A23&lt;'Project Information'!B$11,A23+1,"")</f>
        <v>2034</v>
      </c>
      <c r="B24" s="22">
        <f>B23*(1+(Inputs!X$6/20))</f>
        <v>1648273.3668</v>
      </c>
      <c r="C24" s="22">
        <f>C23*(1+(Inputs!Y$6/20))</f>
        <v>956113.00919999997</v>
      </c>
      <c r="D24" s="8">
        <f t="shared" si="0"/>
        <v>692160.35759999999</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35">
      <c r="A25" s="1">
        <f>IF(A24&lt;'Project Information'!B$11,A24+1,"")</f>
        <v>2035</v>
      </c>
      <c r="B25" s="22">
        <f>B24*(1+(Inputs!X$6/20))</f>
        <v>1651569.9135336</v>
      </c>
      <c r="C25" s="22">
        <f>C24*(1+(Inputs!Y$6/20))</f>
        <v>958025.23521840002</v>
      </c>
      <c r="D25" s="8">
        <f t="shared" si="0"/>
        <v>693544.67831520003</v>
      </c>
      <c r="G25" s="13"/>
      <c r="H25"/>
      <c r="I25" s="223" t="s">
        <v>418</v>
      </c>
      <c r="J25" s="223"/>
      <c r="K25"/>
      <c r="L25" s="224" t="s">
        <v>419</v>
      </c>
      <c r="M25" s="224"/>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35">
      <c r="A26" s="1">
        <f>IF(A25&lt;'Project Information'!B$11,A25+1,"")</f>
        <v>2036</v>
      </c>
      <c r="B26" s="22">
        <f>B25*(1+(Inputs!X$6/20))</f>
        <v>1654873.0533606673</v>
      </c>
      <c r="C26" s="22">
        <f>C25*(1+(Inputs!Y$6/20))</f>
        <v>959941.28568883683</v>
      </c>
      <c r="D26" s="8">
        <f t="shared" si="0"/>
        <v>694931.76767183049</v>
      </c>
      <c r="G26" s="13"/>
      <c r="H26"/>
      <c r="I26" t="s">
        <v>416</v>
      </c>
      <c r="J26" t="s">
        <v>214</v>
      </c>
      <c r="K26" t="s">
        <v>417</v>
      </c>
      <c r="L26" t="s">
        <v>416</v>
      </c>
      <c r="M26" t="s">
        <v>214</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5">
      <c r="A27" s="1">
        <f>IF(A26&lt;'Project Information'!B$11,A26+1,"")</f>
        <v>2037</v>
      </c>
      <c r="B27" s="22">
        <f>B26*(1+(Inputs!X$6/20))</f>
        <v>1658182.7994673885</v>
      </c>
      <c r="C27" s="22">
        <f>C26*(1+(Inputs!Y$6/20))</f>
        <v>961861.1682602145</v>
      </c>
      <c r="D27" s="8">
        <f t="shared" si="0"/>
        <v>696321.63120717404</v>
      </c>
      <c r="G27" s="13"/>
      <c r="H27" t="s">
        <v>409</v>
      </c>
      <c r="I27" s="197">
        <v>56</v>
      </c>
      <c r="J27" s="209">
        <f t="shared" ref="J27:J32" si="1">I27*$B8</f>
        <v>296800</v>
      </c>
      <c r="K27" s="213">
        <v>0</v>
      </c>
      <c r="L27">
        <f>I27*(1-K27)</f>
        <v>56</v>
      </c>
      <c r="M27" s="209">
        <f t="shared" ref="M27:M32" si="2">L27*$B8</f>
        <v>296800</v>
      </c>
      <c r="N27" t="s">
        <v>457</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5">
      <c r="A28" s="1">
        <f>IF(A27&lt;'Project Information'!B$11,A27+1,"")</f>
        <v>2038</v>
      </c>
      <c r="B28" s="22">
        <f>B27*(1+(Inputs!X$6/20))</f>
        <v>1661499.1650663232</v>
      </c>
      <c r="C28" s="22">
        <f>C27*(1+(Inputs!Y$6/20))</f>
        <v>963784.89059673494</v>
      </c>
      <c r="D28" s="8">
        <f t="shared" si="0"/>
        <v>697714.2744695883</v>
      </c>
      <c r="G28" s="13"/>
      <c r="H28" t="s">
        <v>410</v>
      </c>
      <c r="I28" s="197">
        <v>0</v>
      </c>
      <c r="J28" s="209">
        <f t="shared" si="1"/>
        <v>0</v>
      </c>
      <c r="K28" s="213">
        <f>MIN(1,$M$43)</f>
        <v>1</v>
      </c>
      <c r="L28">
        <f t="shared" ref="L28:L33" si="3">I28*(1-K28)</f>
        <v>0</v>
      </c>
      <c r="M28" s="209">
        <f t="shared" si="2"/>
        <v>0</v>
      </c>
      <c r="N28" t="s">
        <v>515</v>
      </c>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5">
      <c r="A29" s="1">
        <f>IF(A28&lt;'Project Information'!B$11,A28+1,"")</f>
        <v>2039</v>
      </c>
      <c r="B29" s="22">
        <f>B28*(1+(Inputs!X$6/20))</f>
        <v>1664822.1633964558</v>
      </c>
      <c r="C29" s="22">
        <f>C28*(1+(Inputs!Y$6/20))</f>
        <v>965712.46037792845</v>
      </c>
      <c r="D29" s="8">
        <f t="shared" si="0"/>
        <v>699109.70301852736</v>
      </c>
      <c r="G29" s="13"/>
      <c r="H29" t="s">
        <v>411</v>
      </c>
      <c r="I29" s="197">
        <v>0</v>
      </c>
      <c r="J29" s="209">
        <f t="shared" si="1"/>
        <v>0</v>
      </c>
      <c r="K29" s="213">
        <f t="shared" ref="K29:K32" si="4">MIN(1,$M$43)</f>
        <v>1</v>
      </c>
      <c r="L29">
        <f t="shared" si="3"/>
        <v>0</v>
      </c>
      <c r="M29" s="209">
        <f t="shared" si="2"/>
        <v>0</v>
      </c>
      <c r="N29" t="s">
        <v>515</v>
      </c>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5">
      <c r="A30" s="1">
        <f>IF(A29&lt;'Project Information'!B$11,A29+1,"")</f>
        <v>2040</v>
      </c>
      <c r="B30" s="22">
        <f>B29*(1+(Inputs!X$6/20))</f>
        <v>1668151.8077232488</v>
      </c>
      <c r="C30" s="22">
        <f>C29*(1+(Inputs!Y$6/20))</f>
        <v>967643.88529868436</v>
      </c>
      <c r="D30" s="8">
        <f t="shared" si="0"/>
        <v>700507.92242456449</v>
      </c>
      <c r="G30" s="13"/>
      <c r="H30" t="s">
        <v>412</v>
      </c>
      <c r="I30" s="197">
        <v>0</v>
      </c>
      <c r="J30" s="209">
        <f t="shared" si="1"/>
        <v>0</v>
      </c>
      <c r="K30" s="213">
        <f t="shared" si="4"/>
        <v>1</v>
      </c>
      <c r="L30">
        <f t="shared" si="3"/>
        <v>0</v>
      </c>
      <c r="M30" s="209">
        <f t="shared" si="2"/>
        <v>0</v>
      </c>
      <c r="N30" t="s">
        <v>515</v>
      </c>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5">
      <c r="A31" s="1">
        <f>IF(A30&lt;'Project Information'!B$11,A30+1,"")</f>
        <v>2041</v>
      </c>
      <c r="B31" s="22">
        <f>B30*(1+(Inputs!X$6/20))</f>
        <v>1671488.1113386953</v>
      </c>
      <c r="C31" s="22">
        <f>C30*(1+(Inputs!Y$6/20))</f>
        <v>969579.17306928174</v>
      </c>
      <c r="D31" s="8">
        <f t="shared" si="0"/>
        <v>701908.93826941354</v>
      </c>
      <c r="G31" s="13"/>
      <c r="H31" t="s">
        <v>413</v>
      </c>
      <c r="I31" s="197">
        <v>0</v>
      </c>
      <c r="J31" s="209">
        <f t="shared" si="1"/>
        <v>0</v>
      </c>
      <c r="K31" s="213">
        <f t="shared" si="4"/>
        <v>1</v>
      </c>
      <c r="L31">
        <f t="shared" si="3"/>
        <v>0</v>
      </c>
      <c r="M31" s="209">
        <f t="shared" si="2"/>
        <v>0</v>
      </c>
      <c r="N31" t="s">
        <v>515</v>
      </c>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5">
      <c r="A32" s="1">
        <f>IF(A31&lt;'Project Information'!B$11,A31+1,"")</f>
        <v>2042</v>
      </c>
      <c r="B32" s="22">
        <f>B31*(1+(Inputs!X$6/20))</f>
        <v>1674831.0875613727</v>
      </c>
      <c r="C32" s="22">
        <f>C31*(1+(Inputs!Y$6/20))</f>
        <v>971518.33141542028</v>
      </c>
      <c r="D32" s="8">
        <f t="shared" si="0"/>
        <v>703312.75614595239</v>
      </c>
      <c r="G32" s="13"/>
      <c r="H32" t="s">
        <v>414</v>
      </c>
      <c r="I32" s="197">
        <v>3</v>
      </c>
      <c r="J32" s="209">
        <f t="shared" si="1"/>
        <v>689400</v>
      </c>
      <c r="K32" s="213">
        <f t="shared" si="4"/>
        <v>1</v>
      </c>
      <c r="L32">
        <f t="shared" si="3"/>
        <v>0</v>
      </c>
      <c r="M32" s="209">
        <f t="shared" si="2"/>
        <v>0</v>
      </c>
      <c r="N32" t="s">
        <v>516</v>
      </c>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5">
      <c r="A33" s="1">
        <f>IF(A32&lt;'Project Information'!B$11,A32+1,"")</f>
        <v>2043</v>
      </c>
      <c r="B33" s="22">
        <f>B32*(1+(Inputs!X$6/20))</f>
        <v>1678180.7497364953</v>
      </c>
      <c r="C33" s="22">
        <f>C32*(1+(Inputs!Y$6/20))</f>
        <v>973461.36807825114</v>
      </c>
      <c r="D33" s="8">
        <f t="shared" si="0"/>
        <v>704719.38165824418</v>
      </c>
      <c r="G33" s="13"/>
      <c r="H33" t="s">
        <v>415</v>
      </c>
      <c r="I33" s="197">
        <v>69</v>
      </c>
      <c r="J33" s="209">
        <f>I33*$B16</f>
        <v>655500</v>
      </c>
      <c r="K33" s="213">
        <v>0</v>
      </c>
      <c r="L33">
        <f t="shared" si="3"/>
        <v>69</v>
      </c>
      <c r="M33" s="209">
        <f>L33*$B16</f>
        <v>655500</v>
      </c>
      <c r="N33" t="s">
        <v>457</v>
      </c>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5">
      <c r="A34" s="1">
        <f>IF(A33&lt;'Project Information'!B$11,A33+1,"")</f>
        <v>2044</v>
      </c>
      <c r="B34" s="22">
        <f>B33*(1+(Inputs!X$6/20))</f>
        <v>1681537.1112359683</v>
      </c>
      <c r="C34" s="22">
        <f>C33*(1+(Inputs!Y$6/20))</f>
        <v>975408.29081440764</v>
      </c>
      <c r="D34" s="8">
        <f t="shared" si="0"/>
        <v>706128.82042156067</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5">
      <c r="A35" s="1">
        <f>IF(A34&lt;'Project Information'!B$11,A34+1,"")</f>
        <v>2045</v>
      </c>
      <c r="B35" s="22">
        <f>B34*(1+(Inputs!X$6/20))</f>
        <v>1684900.1854584403</v>
      </c>
      <c r="C35" s="22">
        <f>C34*(1+(Inputs!Y$6/20))</f>
        <v>977359.1073960365</v>
      </c>
      <c r="D35" s="8">
        <f t="shared" si="0"/>
        <v>707541.07806240383</v>
      </c>
      <c r="G35" s="13"/>
      <c r="H35" t="s">
        <v>21</v>
      </c>
      <c r="I35"/>
      <c r="J35" s="209">
        <f>SUM(J27:J33)</f>
        <v>1641700</v>
      </c>
      <c r="K35"/>
      <c r="L35"/>
      <c r="M35" s="209">
        <f>SUM(M27:M33)</f>
        <v>952300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5">
      <c r="A36" s="1">
        <f>IF(A35&lt;'Project Information'!B$11,A35+1,"")</f>
        <v>2046</v>
      </c>
      <c r="B36" s="22">
        <f>B35*(1+(Inputs!X$6/20))</f>
        <v>1688269.9858293573</v>
      </c>
      <c r="C36" s="22">
        <f>C35*(1+(Inputs!Y$6/20))</f>
        <v>979313.82561082859</v>
      </c>
      <c r="D36" s="8">
        <f t="shared" si="0"/>
        <v>708956.1602185287</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5">
      <c r="A37" s="1">
        <f>IF(A36&lt;'Project Information'!B$11,A36+1,"")</f>
        <v>2047</v>
      </c>
      <c r="B37" s="22">
        <f>B36*(1+(Inputs!X$6/20))</f>
        <v>1691646.525801016</v>
      </c>
      <c r="C37" s="22">
        <f>C36*(1+(Inputs!Y$6/20))</f>
        <v>981272.45326205029</v>
      </c>
      <c r="D37" s="8">
        <f t="shared" si="0"/>
        <v>710374.07253896573</v>
      </c>
      <c r="G37" s="13"/>
      <c r="H37" s="274"/>
      <c r="I37" s="270" t="s">
        <v>514</v>
      </c>
      <c r="J37" t="s">
        <v>496</v>
      </c>
      <c r="K37" t="s">
        <v>497</v>
      </c>
      <c r="L37" t="s">
        <v>498</v>
      </c>
      <c r="M37" t="s">
        <v>499</v>
      </c>
      <c r="N37" s="270" t="s">
        <v>500</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5">
      <c r="A38" s="1">
        <f>IF(A37&lt;'Project Information'!B$11,A37+1,"")</f>
        <v>2048</v>
      </c>
      <c r="B38" s="22">
        <f>B37*(1+(Inputs!X$6/20))</f>
        <v>1695029.8188526181</v>
      </c>
      <c r="C38" s="22">
        <f>C37*(1+(Inputs!Y$6/20))</f>
        <v>983234.99816857441</v>
      </c>
      <c r="D38" s="8">
        <f t="shared" si="0"/>
        <v>711794.82068404369</v>
      </c>
      <c r="G38" s="13"/>
      <c r="H38" s="274"/>
      <c r="I38" s="272">
        <v>9250</v>
      </c>
      <c r="J38" s="272">
        <v>0.75</v>
      </c>
      <c r="K38" s="273">
        <v>0.25</v>
      </c>
      <c r="L38" s="273">
        <v>0.25</v>
      </c>
      <c r="M38" s="273">
        <f>AVERAGE(K38:L38)</f>
        <v>0.25</v>
      </c>
      <c r="N38" s="270" t="s">
        <v>509</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5">
      <c r="A39" s="1">
        <f>IF(A38&lt;'Project Information'!B$11,A38+1,"")</f>
        <v>2049</v>
      </c>
      <c r="B39" s="22">
        <f>B38*(1+(Inputs!X$6/20))</f>
        <v>1698419.8784903234</v>
      </c>
      <c r="C39" s="22">
        <f>C38*(1+(Inputs!Y$6/20))</f>
        <v>985201.46816491161</v>
      </c>
      <c r="D39" s="8">
        <f t="shared" si="0"/>
        <v>713218.41032541182</v>
      </c>
      <c r="G39" s="13"/>
      <c r="H39" s="274"/>
      <c r="I39" s="272" t="s">
        <v>501</v>
      </c>
      <c r="J39" s="272" t="s">
        <v>510</v>
      </c>
      <c r="K39" s="273">
        <v>0.19</v>
      </c>
      <c r="L39" s="273">
        <v>0.4</v>
      </c>
      <c r="M39" s="273">
        <f t="shared" ref="M39:M42" si="5">AVERAGE(K39:L39)</f>
        <v>0.29500000000000004</v>
      </c>
      <c r="N39" s="270" t="s">
        <v>508</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5">
      <c r="A40" s="1">
        <f>IF(A39&lt;'Project Information'!B$11,A39+1,"")</f>
        <v>2050</v>
      </c>
      <c r="B40" s="22">
        <f>B39*(1+(Inputs!X$6/20))</f>
        <v>1701816.718247304</v>
      </c>
      <c r="C40" s="22">
        <f>C39*(1+(Inputs!Y$6/20))</f>
        <v>987171.87110124144</v>
      </c>
      <c r="D40" s="8">
        <f t="shared" si="0"/>
        <v>714644.84714606253</v>
      </c>
      <c r="G40" s="13"/>
      <c r="H40" s="274"/>
      <c r="I40" s="272" t="s">
        <v>502</v>
      </c>
      <c r="J40" s="272" t="s">
        <v>511</v>
      </c>
      <c r="K40" s="273">
        <v>0.69</v>
      </c>
      <c r="L40" s="273">
        <v>0.73</v>
      </c>
      <c r="M40" s="273">
        <f t="shared" si="5"/>
        <v>0.71</v>
      </c>
      <c r="N40" s="270" t="s">
        <v>507</v>
      </c>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5">
      <c r="A41" s="1">
        <f>IF(A40&lt;'Project Information'!B$11,A40+1,"")</f>
        <v>2051</v>
      </c>
      <c r="B41" s="22">
        <f>B40*(1+(Inputs!X$6/20))</f>
        <v>1705220.3516837985</v>
      </c>
      <c r="C41" s="22">
        <f>C40*(1+(Inputs!Y$6/20))</f>
        <v>989146.21484344394</v>
      </c>
      <c r="D41" s="8">
        <f t="shared" si="0"/>
        <v>716074.13684035453</v>
      </c>
      <c r="G41" s="13"/>
      <c r="H41" s="274"/>
      <c r="I41" s="272" t="s">
        <v>503</v>
      </c>
      <c r="J41" s="272" t="s">
        <v>512</v>
      </c>
      <c r="K41" s="273">
        <v>0.188</v>
      </c>
      <c r="L41" s="273">
        <v>0.47</v>
      </c>
      <c r="M41" s="273">
        <f t="shared" si="5"/>
        <v>0.32899999999999996</v>
      </c>
      <c r="N41" s="270" t="s">
        <v>506</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5">
      <c r="A42" s="1" t="str">
        <f>IF(A41&lt;'Project Information'!B$11,A41+1,"")</f>
        <v/>
      </c>
      <c r="B42" s="22">
        <v>0</v>
      </c>
      <c r="C42" s="22">
        <v>0</v>
      </c>
      <c r="D42" s="8">
        <f t="shared" si="0"/>
        <v>0</v>
      </c>
      <c r="G42" s="13"/>
      <c r="H42"/>
      <c r="I42" s="272" t="s">
        <v>504</v>
      </c>
      <c r="J42" s="272" t="s">
        <v>513</v>
      </c>
      <c r="K42" s="273">
        <v>0.04</v>
      </c>
      <c r="L42" s="273">
        <v>0.33</v>
      </c>
      <c r="M42" s="273">
        <f t="shared" si="5"/>
        <v>0.185</v>
      </c>
      <c r="N42" s="270" t="s">
        <v>505</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5">
      <c r="A43" s="1" t="str">
        <f>IF(A42&lt;'Project Information'!B$11,A42+1,"")</f>
        <v/>
      </c>
      <c r="B43" s="22">
        <v>0</v>
      </c>
      <c r="C43" s="22">
        <v>0</v>
      </c>
      <c r="D43" s="8">
        <f t="shared" si="0"/>
        <v>0</v>
      </c>
      <c r="G43" s="13"/>
      <c r="H43" t="s">
        <v>21</v>
      </c>
      <c r="I43"/>
      <c r="J43"/>
      <c r="K43" s="271">
        <f>SUM(K38:K42)</f>
        <v>1.3579999999999999</v>
      </c>
      <c r="L43" s="271">
        <f t="shared" ref="L43:M43" si="6">SUM(L38:L42)</f>
        <v>2.1799999999999997</v>
      </c>
      <c r="M43" s="271">
        <f t="shared" si="6"/>
        <v>1.7689999999999999</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5">
      <c r="A44" s="1" t="str">
        <f>IF(A43&lt;'Project Information'!B$11,A43+1,"")</f>
        <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3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3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35">
      <c r="A51" s="1" t="str">
        <f>IF(A50&lt;'Project Information'!B$11,A50+1,"")</f>
        <v/>
      </c>
      <c r="B51" s="22">
        <v>0</v>
      </c>
      <c r="C51" s="22">
        <v>0</v>
      </c>
      <c r="D51" s="9">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35">
      <c r="A52" s="31"/>
      <c r="B52" s="32"/>
      <c r="C52" s="32"/>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3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3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3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3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3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3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3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3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3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3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3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3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3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3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3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3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3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3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3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3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3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3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3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3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3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3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3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3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3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3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3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3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3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3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3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3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3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3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3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3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3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3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ht="15" thickBot="1" x14ac:dyDescent="0.4">
      <c r="G111" s="15"/>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7"/>
    </row>
  </sheetData>
  <conditionalFormatting sqref="B22:B51 C23:C41">
    <cfRule type="expression" dxfId="16" priority="2">
      <formula>A22=""</formula>
    </cfRule>
  </conditionalFormatting>
  <conditionalFormatting sqref="C22 C42:C51">
    <cfRule type="expression" dxfId="15" priority="1">
      <formula>A22=""</formula>
    </cfRule>
  </conditionalFormatting>
  <hyperlinks>
    <hyperlink ref="N38" r:id="rId1" display="https://d5x8rk04.na1.hs-sales-engage.com/Ctc/UE+23284/d5x8Rk04/Jl22-6qcW7lCdLW6lZ3n8W5htXx_41vLD4W6xL_dd5-MQYdW5fJlNt6s_9ltW3cGdrn5tlJ2fW7bc-XV7FYwmjW6t7CHn1kqGd2W9k3Z2F5GmD1yW7DHGXX9c00rMW5_WhJm4D3tGYW51gbrd2sW5WlW5tV4_d4PV_QCW6zy-S87XNzr8VmdlkZ70D0XZVZ0fNC218P6bW5mVdrk4qZfZpW1QVtks7wldGFW44nk9H7rW_WvN2zLttK_Hl2jW39N6-P1YVNtHW6x-l2Z3LNP39N1sMJWkf3bfjN1nHXLt3YfPfW6_HsrH6ZhdjkW7_W9sT58xrD8f7tZ2sW04" xr:uid="{F86833D9-17F8-4A5A-A582-FE6FF611E1F0}"/>
  </hyperlinks>
  <pageMargins left="0.7" right="0.7" top="0.75" bottom="0.75" header="0.3" footer="0.3"/>
  <pageSetup orientation="portrait" r:id="rId2"/>
  <ignoredErrors>
    <ignoredError sqref="M38"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Overview</vt:lpstr>
      <vt:lpstr>Project Information</vt:lpstr>
      <vt:lpstr>Parameter Values</vt:lpstr>
      <vt:lpstr>Inputs</vt:lpstr>
      <vt:lpstr>Outputs</vt:lpstr>
      <vt:lpstr>User Volumes</vt:lpstr>
      <vt:lpstr>Capital Costs</vt:lpstr>
      <vt:lpstr>Operations and Maintenance</vt:lpstr>
      <vt:lpstr>Safety</vt:lpstr>
      <vt:lpstr>Travel Time Savings</vt:lpstr>
      <vt:lpstr>Vehicle Operating Cost Savings</vt:lpstr>
      <vt:lpstr>Emissions Reduction</vt:lpstr>
      <vt:lpstr>Amenity Benefits</vt:lpstr>
      <vt:lpstr>Health Benefits</vt:lpstr>
      <vt:lpstr>Summary</vt:lpstr>
      <vt:lpstr>Final Results</vt:lpstr>
      <vt:lpstr>Other Highway Use Externalities</vt:lpstr>
      <vt:lpstr>Residual Value</vt:lpstr>
      <vt:lpstr>Other Benefit 1</vt:lpstr>
      <vt:lpstr>Other Benefit 2</vt:lpstr>
      <vt:lpstr>Other Benefit 3</vt:lpstr>
      <vt:lpstr>Other Benefit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Riesenberg, Jordan (OST)</dc:creator>
  <cp:lastModifiedBy>Elizabeth Bower</cp:lastModifiedBy>
  <dcterms:created xsi:type="dcterms:W3CDTF">2023-03-14T14:10:51Z</dcterms:created>
  <dcterms:modified xsi:type="dcterms:W3CDTF">2025-01-28T13:43:15Z</dcterms:modified>
</cp:coreProperties>
</file>